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\Documents\RAAB\RAAB Pres\"/>
    </mc:Choice>
  </mc:AlternateContent>
  <xr:revisionPtr revIDLastSave="0" documentId="8_{D5441AC7-4766-4831-A035-244359DB83E8}" xr6:coauthVersionLast="47" xr6:coauthVersionMax="47" xr10:uidLastSave="{00000000-0000-0000-0000-000000000000}"/>
  <bookViews>
    <workbookView xWindow="-120" yWindow="630" windowWidth="25440" windowHeight="14520" xr2:uid="{00000000-000D-0000-FFFF-FFFF00000000}"/>
  </bookViews>
  <sheets>
    <sheet name="Account Balances 9.30.25" sheetId="4" r:id="rId1"/>
    <sheet name="Statement of Activity FY" sheetId="1" r:id="rId2"/>
    <sheet name="Stmt of Activity - Sept" sheetId="2" r:id="rId3"/>
    <sheet name="Stmt of Activity - by S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4" l="1"/>
  <c r="B64" i="4"/>
  <c r="B69" i="4" s="1"/>
  <c r="B70" i="4" s="1"/>
  <c r="B73" i="4" s="1"/>
  <c r="B32" i="4"/>
  <c r="B33" i="4" s="1"/>
  <c r="B35" i="4" s="1"/>
  <c r="B18" i="4"/>
  <c r="B21" i="4" s="1"/>
  <c r="B24" i="4" s="1"/>
  <c r="B16" i="4"/>
  <c r="X68" i="3"/>
  <c r="V68" i="3"/>
  <c r="U68" i="3"/>
  <c r="T68" i="3"/>
  <c r="S68" i="3"/>
  <c r="S69" i="3" s="1"/>
  <c r="S70" i="3" s="1"/>
  <c r="O68" i="3"/>
  <c r="N69" i="3"/>
  <c r="O69" i="3"/>
  <c r="T69" i="3"/>
  <c r="T70" i="3" s="1"/>
  <c r="U69" i="3"/>
  <c r="U70" i="3" s="1"/>
  <c r="V69" i="3"/>
  <c r="V70" i="3" s="1"/>
  <c r="X69" i="3"/>
  <c r="X70" i="3" s="1"/>
  <c r="Y69" i="3"/>
  <c r="Y70" i="3" s="1"/>
  <c r="N70" i="3"/>
  <c r="O70" i="3"/>
  <c r="N68" i="3"/>
  <c r="M68" i="3"/>
  <c r="M69" i="3" s="1"/>
  <c r="M70" i="3" s="1"/>
  <c r="L68" i="3"/>
  <c r="L69" i="3" s="1"/>
  <c r="L70" i="3" s="1"/>
  <c r="K68" i="3"/>
  <c r="K69" i="3"/>
  <c r="K70" i="3" s="1"/>
  <c r="J68" i="3"/>
  <c r="I68" i="3"/>
  <c r="H68" i="3"/>
  <c r="G68" i="3"/>
  <c r="F68" i="3"/>
  <c r="E68" i="3"/>
  <c r="E69" i="3" s="1"/>
  <c r="E70" i="3" s="1"/>
  <c r="D68" i="3"/>
  <c r="C68" i="3"/>
  <c r="C69" i="3" s="1"/>
  <c r="C70" i="3" s="1"/>
  <c r="D69" i="3"/>
  <c r="D70" i="3" s="1"/>
  <c r="F69" i="3"/>
  <c r="F70" i="3" s="1"/>
  <c r="G69" i="3"/>
  <c r="G70" i="3" s="1"/>
  <c r="H69" i="3"/>
  <c r="H70" i="3" s="1"/>
  <c r="I69" i="3"/>
  <c r="I70" i="3" s="1"/>
  <c r="J69" i="3"/>
  <c r="J70" i="3" s="1"/>
  <c r="B70" i="3"/>
  <c r="B69" i="3"/>
  <c r="B68" i="3"/>
  <c r="U64" i="3"/>
  <c r="U65" i="3" s="1"/>
  <c r="T64" i="3"/>
  <c r="T65" i="3" s="1"/>
  <c r="S64" i="3"/>
  <c r="S65" i="3" s="1"/>
  <c r="K64" i="3"/>
  <c r="K65" i="3" s="1"/>
  <c r="J64" i="3"/>
  <c r="J65" i="3" s="1"/>
  <c r="I64" i="3"/>
  <c r="I65" i="3" s="1"/>
  <c r="H64" i="3"/>
  <c r="H65" i="3" s="1"/>
  <c r="G64" i="3"/>
  <c r="G65" i="3" s="1"/>
  <c r="Y63" i="3"/>
  <c r="Y64" i="3" s="1"/>
  <c r="Y65" i="3" s="1"/>
  <c r="X63" i="3"/>
  <c r="V63" i="3"/>
  <c r="W63" i="3" s="1"/>
  <c r="U63" i="3"/>
  <c r="T63" i="3"/>
  <c r="S63" i="3"/>
  <c r="Q63" i="3"/>
  <c r="P63" i="3"/>
  <c r="O63" i="3"/>
  <c r="O64" i="3" s="1"/>
  <c r="O65" i="3" s="1"/>
  <c r="N63" i="3"/>
  <c r="N64" i="3" s="1"/>
  <c r="N65" i="3" s="1"/>
  <c r="M63" i="3"/>
  <c r="M64" i="3" s="1"/>
  <c r="M65" i="3" s="1"/>
  <c r="L63" i="3"/>
  <c r="L64" i="3" s="1"/>
  <c r="L65" i="3" s="1"/>
  <c r="K63" i="3"/>
  <c r="J63" i="3"/>
  <c r="I63" i="3"/>
  <c r="H63" i="3"/>
  <c r="G63" i="3"/>
  <c r="F63" i="3"/>
  <c r="F64" i="3" s="1"/>
  <c r="F65" i="3" s="1"/>
  <c r="D63" i="3"/>
  <c r="D64" i="3" s="1"/>
  <c r="D65" i="3" s="1"/>
  <c r="C63" i="3"/>
  <c r="C64" i="3" s="1"/>
  <c r="C65" i="3" s="1"/>
  <c r="B63" i="3"/>
  <c r="Z62" i="3"/>
  <c r="W62" i="3"/>
  <c r="R62" i="3"/>
  <c r="AA62" i="3" s="1"/>
  <c r="N62" i="3"/>
  <c r="Z61" i="3"/>
  <c r="W61" i="3"/>
  <c r="R61" i="3"/>
  <c r="E61" i="3"/>
  <c r="Z60" i="3"/>
  <c r="W60" i="3"/>
  <c r="Q60" i="3"/>
  <c r="Y56" i="3"/>
  <c r="X56" i="3"/>
  <c r="Z56" i="3" s="1"/>
  <c r="V56" i="3"/>
  <c r="U56" i="3"/>
  <c r="W56" i="3" s="1"/>
  <c r="T56" i="3"/>
  <c r="S56" i="3"/>
  <c r="Q56" i="3"/>
  <c r="P56" i="3"/>
  <c r="R56" i="3" s="1"/>
  <c r="O56" i="3"/>
  <c r="N56" i="3"/>
  <c r="M56" i="3"/>
  <c r="L56" i="3"/>
  <c r="K56" i="3"/>
  <c r="J56" i="3"/>
  <c r="I56" i="3"/>
  <c r="G56" i="3"/>
  <c r="F56" i="3"/>
  <c r="D56" i="3"/>
  <c r="C56" i="3"/>
  <c r="B56" i="3"/>
  <c r="Z55" i="3"/>
  <c r="W55" i="3"/>
  <c r="R55" i="3"/>
  <c r="H55" i="3"/>
  <c r="H56" i="3" s="1"/>
  <c r="Z54" i="3"/>
  <c r="W54" i="3"/>
  <c r="R54" i="3"/>
  <c r="E54" i="3"/>
  <c r="E56" i="3" s="1"/>
  <c r="Z53" i="3"/>
  <c r="W53" i="3"/>
  <c r="R53" i="3"/>
  <c r="AA53" i="3" s="1"/>
  <c r="Q52" i="3"/>
  <c r="P52" i="3"/>
  <c r="R52" i="3" s="1"/>
  <c r="D52" i="3"/>
  <c r="Z51" i="3"/>
  <c r="U51" i="3"/>
  <c r="W51" i="3" s="1"/>
  <c r="AA51" i="3" s="1"/>
  <c r="R51" i="3"/>
  <c r="K51" i="3"/>
  <c r="F51" i="3"/>
  <c r="Y50" i="3"/>
  <c r="X50" i="3"/>
  <c r="V50" i="3"/>
  <c r="U50" i="3"/>
  <c r="W50" i="3" s="1"/>
  <c r="T50" i="3"/>
  <c r="S50" i="3"/>
  <c r="Q50" i="3"/>
  <c r="P50" i="3"/>
  <c r="O50" i="3"/>
  <c r="M50" i="3"/>
  <c r="L50" i="3"/>
  <c r="K50" i="3"/>
  <c r="J50" i="3"/>
  <c r="I50" i="3"/>
  <c r="H50" i="3"/>
  <c r="G50" i="3"/>
  <c r="E50" i="3"/>
  <c r="D50" i="3"/>
  <c r="C50" i="3"/>
  <c r="B50" i="3"/>
  <c r="Z49" i="3"/>
  <c r="W49" i="3"/>
  <c r="R49" i="3"/>
  <c r="N49" i="3"/>
  <c r="N50" i="3" s="1"/>
  <c r="F49" i="3"/>
  <c r="D49" i="3"/>
  <c r="Z48" i="3"/>
  <c r="W48" i="3"/>
  <c r="R48" i="3"/>
  <c r="AA48" i="3" s="1"/>
  <c r="X47" i="3"/>
  <c r="Z47" i="3" s="1"/>
  <c r="W47" i="3"/>
  <c r="R47" i="3"/>
  <c r="F47" i="3"/>
  <c r="Z46" i="3"/>
  <c r="W46" i="3"/>
  <c r="R46" i="3"/>
  <c r="H46" i="3"/>
  <c r="F46" i="3"/>
  <c r="AA46" i="3" s="1"/>
  <c r="Y45" i="3"/>
  <c r="Y52" i="3" s="1"/>
  <c r="X45" i="3"/>
  <c r="Z45" i="3" s="1"/>
  <c r="V45" i="3"/>
  <c r="Q45" i="3"/>
  <c r="P45" i="3"/>
  <c r="R45" i="3" s="1"/>
  <c r="K45" i="3"/>
  <c r="J45" i="3"/>
  <c r="G45" i="3"/>
  <c r="F45" i="3"/>
  <c r="D45" i="3"/>
  <c r="Z44" i="3"/>
  <c r="W44" i="3"/>
  <c r="R44" i="3"/>
  <c r="E44" i="3"/>
  <c r="E45" i="3" s="1"/>
  <c r="X43" i="3"/>
  <c r="Z43" i="3" s="1"/>
  <c r="U43" i="3"/>
  <c r="W43" i="3" s="1"/>
  <c r="T43" i="3"/>
  <c r="T45" i="3" s="1"/>
  <c r="S43" i="3"/>
  <c r="S45" i="3" s="1"/>
  <c r="R43" i="3"/>
  <c r="O43" i="3"/>
  <c r="O45" i="3" s="1"/>
  <c r="N43" i="3"/>
  <c r="N45" i="3" s="1"/>
  <c r="M43" i="3"/>
  <c r="M45" i="3" s="1"/>
  <c r="L43" i="3"/>
  <c r="L45" i="3" s="1"/>
  <c r="L52" i="3" s="1"/>
  <c r="K43" i="3"/>
  <c r="J43" i="3"/>
  <c r="I43" i="3"/>
  <c r="I45" i="3" s="1"/>
  <c r="H43" i="3"/>
  <c r="H45" i="3" s="1"/>
  <c r="D43" i="3"/>
  <c r="C43" i="3"/>
  <c r="C45" i="3" s="1"/>
  <c r="B43" i="3"/>
  <c r="X42" i="3"/>
  <c r="Z42" i="3" s="1"/>
  <c r="U42" i="3"/>
  <c r="W42" i="3" s="1"/>
  <c r="AA42" i="3" s="1"/>
  <c r="R42" i="3"/>
  <c r="N42" i="3"/>
  <c r="G42" i="3"/>
  <c r="Y41" i="3"/>
  <c r="X41" i="3"/>
  <c r="Z41" i="3" s="1"/>
  <c r="V41" i="3"/>
  <c r="U41" i="3"/>
  <c r="W41" i="3" s="1"/>
  <c r="S41" i="3"/>
  <c r="Q41" i="3"/>
  <c r="P41" i="3"/>
  <c r="R41" i="3" s="1"/>
  <c r="O41" i="3"/>
  <c r="N41" i="3"/>
  <c r="L41" i="3"/>
  <c r="K41" i="3"/>
  <c r="J41" i="3"/>
  <c r="I41" i="3"/>
  <c r="H41" i="3"/>
  <c r="G41" i="3"/>
  <c r="F41" i="3"/>
  <c r="E41" i="3"/>
  <c r="D41" i="3"/>
  <c r="C41" i="3"/>
  <c r="B41" i="3"/>
  <c r="Z40" i="3"/>
  <c r="W40" i="3"/>
  <c r="R40" i="3"/>
  <c r="M40" i="3"/>
  <c r="Z39" i="3"/>
  <c r="W39" i="3"/>
  <c r="T39" i="3"/>
  <c r="T41" i="3" s="1"/>
  <c r="T52" i="3" s="1"/>
  <c r="T57" i="3" s="1"/>
  <c r="R39" i="3"/>
  <c r="H39" i="3"/>
  <c r="Z38" i="3"/>
  <c r="W38" i="3"/>
  <c r="R38" i="3"/>
  <c r="N38" i="3"/>
  <c r="AA38" i="3" s="1"/>
  <c r="X37" i="3"/>
  <c r="Z37" i="3" s="1"/>
  <c r="W37" i="3"/>
  <c r="R37" i="3"/>
  <c r="N37" i="3"/>
  <c r="AA37" i="3" s="1"/>
  <c r="Z36" i="3"/>
  <c r="U36" i="3"/>
  <c r="R36" i="3"/>
  <c r="Z35" i="3"/>
  <c r="W35" i="3"/>
  <c r="R35" i="3"/>
  <c r="H35" i="3"/>
  <c r="F35" i="3"/>
  <c r="Z34" i="3"/>
  <c r="W34" i="3"/>
  <c r="R34" i="3"/>
  <c r="H34" i="3"/>
  <c r="E34" i="3"/>
  <c r="Z33" i="3"/>
  <c r="W33" i="3"/>
  <c r="R33" i="3"/>
  <c r="AA33" i="3" s="1"/>
  <c r="Y32" i="3"/>
  <c r="Z32" i="3" s="1"/>
  <c r="V32" i="3"/>
  <c r="W32" i="3" s="1"/>
  <c r="R32" i="3"/>
  <c r="Y31" i="3"/>
  <c r="X31" i="3"/>
  <c r="V31" i="3"/>
  <c r="U31" i="3"/>
  <c r="T31" i="3"/>
  <c r="S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30" i="3"/>
  <c r="W30" i="3"/>
  <c r="Q30" i="3"/>
  <c r="R30" i="3" s="1"/>
  <c r="AA30" i="3" s="1"/>
  <c r="Z29" i="3"/>
  <c r="W29" i="3"/>
  <c r="Q29" i="3"/>
  <c r="R29" i="3" s="1"/>
  <c r="Z28" i="3"/>
  <c r="W28" i="3"/>
  <c r="Q28" i="3"/>
  <c r="Q31" i="3" s="1"/>
  <c r="Z27" i="3"/>
  <c r="W27" i="3"/>
  <c r="AA27" i="3" s="1"/>
  <c r="R27" i="3"/>
  <c r="Y22" i="3"/>
  <c r="V22" i="3"/>
  <c r="U22" i="3"/>
  <c r="T22" i="3"/>
  <c r="S22" i="3"/>
  <c r="S23" i="3" s="1"/>
  <c r="Q22" i="3"/>
  <c r="Q23" i="3" s="1"/>
  <c r="P22" i="3"/>
  <c r="O22" i="3"/>
  <c r="N22" i="3"/>
  <c r="M22" i="3"/>
  <c r="M23" i="3" s="1"/>
  <c r="M24" i="3" s="1"/>
  <c r="M25" i="3" s="1"/>
  <c r="L22" i="3"/>
  <c r="K22" i="3"/>
  <c r="K23" i="3" s="1"/>
  <c r="K24" i="3" s="1"/>
  <c r="K25" i="3" s="1"/>
  <c r="J22" i="3"/>
  <c r="I22" i="3"/>
  <c r="G22" i="3"/>
  <c r="F22" i="3"/>
  <c r="F23" i="3" s="1"/>
  <c r="E22" i="3"/>
  <c r="D22" i="3"/>
  <c r="D23" i="3" s="1"/>
  <c r="D24" i="3" s="1"/>
  <c r="D25" i="3" s="1"/>
  <c r="C22" i="3"/>
  <c r="C23" i="3" s="1"/>
  <c r="C24" i="3" s="1"/>
  <c r="C25" i="3" s="1"/>
  <c r="B22" i="3"/>
  <c r="Z21" i="3"/>
  <c r="U21" i="3"/>
  <c r="W21" i="3" s="1"/>
  <c r="R21" i="3"/>
  <c r="AA21" i="3" s="1"/>
  <c r="Z20" i="3"/>
  <c r="W20" i="3"/>
  <c r="R20" i="3"/>
  <c r="H20" i="3"/>
  <c r="X19" i="3"/>
  <c r="X22" i="3" s="1"/>
  <c r="Z22" i="3" s="1"/>
  <c r="W19" i="3"/>
  <c r="R19" i="3"/>
  <c r="Z18" i="3"/>
  <c r="W18" i="3"/>
  <c r="R18" i="3"/>
  <c r="AA18" i="3" s="1"/>
  <c r="Y17" i="3"/>
  <c r="X17" i="3"/>
  <c r="Z17" i="3" s="1"/>
  <c r="V17" i="3"/>
  <c r="U17" i="3"/>
  <c r="T17" i="3"/>
  <c r="S17" i="3"/>
  <c r="Q17" i="3"/>
  <c r="P17" i="3"/>
  <c r="R17" i="3" s="1"/>
  <c r="O17" i="3"/>
  <c r="N17" i="3"/>
  <c r="M17" i="3"/>
  <c r="L17" i="3"/>
  <c r="L23" i="3" s="1"/>
  <c r="L24" i="3" s="1"/>
  <c r="L25" i="3" s="1"/>
  <c r="K17" i="3"/>
  <c r="J17" i="3"/>
  <c r="I17" i="3"/>
  <c r="G17" i="3"/>
  <c r="F17" i="3"/>
  <c r="E17" i="3"/>
  <c r="D17" i="3"/>
  <c r="C17" i="3"/>
  <c r="B17" i="3"/>
  <c r="Z16" i="3"/>
  <c r="W16" i="3"/>
  <c r="R16" i="3"/>
  <c r="AA16" i="3" s="1"/>
  <c r="H16" i="3"/>
  <c r="H17" i="3" s="1"/>
  <c r="Z15" i="3"/>
  <c r="W15" i="3"/>
  <c r="R15" i="3"/>
  <c r="AA15" i="3" s="1"/>
  <c r="X14" i="3"/>
  <c r="Z14" i="3" s="1"/>
  <c r="U14" i="3"/>
  <c r="U23" i="3" s="1"/>
  <c r="T14" i="3"/>
  <c r="T23" i="3" s="1"/>
  <c r="R14" i="3"/>
  <c r="N14" i="3"/>
  <c r="N23" i="3" s="1"/>
  <c r="N24" i="3" s="1"/>
  <c r="N25" i="3" s="1"/>
  <c r="H14" i="3"/>
  <c r="Z13" i="3"/>
  <c r="W13" i="3"/>
  <c r="R13" i="3"/>
  <c r="E13" i="3"/>
  <c r="AA13" i="3" s="1"/>
  <c r="Z12" i="3"/>
  <c r="W12" i="3"/>
  <c r="R12" i="3"/>
  <c r="E12" i="3"/>
  <c r="Z11" i="3"/>
  <c r="W11" i="3"/>
  <c r="R11" i="3"/>
  <c r="Y10" i="3"/>
  <c r="X10" i="3"/>
  <c r="Z10" i="3" s="1"/>
  <c r="V10" i="3"/>
  <c r="U10" i="3"/>
  <c r="T10" i="3"/>
  <c r="S10" i="3"/>
  <c r="P10" i="3"/>
  <c r="O10" i="3"/>
  <c r="N10" i="3"/>
  <c r="M10" i="3"/>
  <c r="L10" i="3"/>
  <c r="K10" i="3"/>
  <c r="J10" i="3"/>
  <c r="I10" i="3"/>
  <c r="H10" i="3"/>
  <c r="G10" i="3"/>
  <c r="F10" i="3"/>
  <c r="F24" i="3" s="1"/>
  <c r="F25" i="3" s="1"/>
  <c r="E10" i="3"/>
  <c r="D10" i="3"/>
  <c r="C10" i="3"/>
  <c r="B10" i="3"/>
  <c r="Z9" i="3"/>
  <c r="W9" i="3"/>
  <c r="Q9" i="3"/>
  <c r="R9" i="3" s="1"/>
  <c r="Z8" i="3"/>
  <c r="W8" i="3"/>
  <c r="Q8" i="3"/>
  <c r="Z7" i="3"/>
  <c r="W7" i="3"/>
  <c r="R7" i="3"/>
  <c r="AA7" i="3" s="1"/>
  <c r="B64" i="2"/>
  <c r="B65" i="2" s="1"/>
  <c r="B67" i="2" s="1"/>
  <c r="B57" i="2"/>
  <c r="B58" i="2" s="1"/>
  <c r="B53" i="2"/>
  <c r="B51" i="2"/>
  <c r="B46" i="2"/>
  <c r="B42" i="2"/>
  <c r="B32" i="2"/>
  <c r="B22" i="2"/>
  <c r="B17" i="2"/>
  <c r="B23" i="2" s="1"/>
  <c r="B10" i="2"/>
  <c r="B24" i="2" s="1"/>
  <c r="B26" i="2" s="1"/>
  <c r="B59" i="2" s="1"/>
  <c r="B68" i="2" s="1"/>
  <c r="B89" i="1"/>
  <c r="B90" i="1" s="1"/>
  <c r="B92" i="1" s="1"/>
  <c r="B82" i="1"/>
  <c r="B75" i="1"/>
  <c r="B68" i="1"/>
  <c r="B77" i="1" s="1"/>
  <c r="B64" i="1"/>
  <c r="B55" i="1"/>
  <c r="B50" i="1"/>
  <c r="B38" i="1"/>
  <c r="B33" i="1"/>
  <c r="B26" i="1"/>
  <c r="B39" i="1" s="1"/>
  <c r="B14" i="1"/>
  <c r="B74" i="4" l="1"/>
  <c r="W14" i="3"/>
  <c r="Q57" i="3"/>
  <c r="O52" i="3"/>
  <c r="X52" i="3"/>
  <c r="Z52" i="3" s="1"/>
  <c r="Q64" i="3"/>
  <c r="Q65" i="3" s="1"/>
  <c r="G23" i="3"/>
  <c r="G24" i="3" s="1"/>
  <c r="G25" i="3" s="1"/>
  <c r="G58" i="3" s="1"/>
  <c r="G66" i="3" s="1"/>
  <c r="W22" i="3"/>
  <c r="R28" i="3"/>
  <c r="AA28" i="3" s="1"/>
  <c r="D57" i="3"/>
  <c r="D58" i="3" s="1"/>
  <c r="D66" i="3" s="1"/>
  <c r="P57" i="3"/>
  <c r="U52" i="3"/>
  <c r="U57" i="3" s="1"/>
  <c r="Z50" i="3"/>
  <c r="R60" i="3"/>
  <c r="AA60" i="3" s="1"/>
  <c r="R63" i="3"/>
  <c r="AA35" i="3"/>
  <c r="S52" i="3"/>
  <c r="T24" i="3"/>
  <c r="T25" i="3" s="1"/>
  <c r="T58" i="3" s="1"/>
  <c r="T66" i="3" s="1"/>
  <c r="I23" i="3"/>
  <c r="I24" i="3" s="1"/>
  <c r="I25" i="3" s="1"/>
  <c r="V23" i="3"/>
  <c r="W23" i="3" s="1"/>
  <c r="G52" i="3"/>
  <c r="G57" i="3" s="1"/>
  <c r="C52" i="3"/>
  <c r="C57" i="3" s="1"/>
  <c r="C58" i="3" s="1"/>
  <c r="C66" i="3" s="1"/>
  <c r="U24" i="3"/>
  <c r="J23" i="3"/>
  <c r="J24" i="3" s="1"/>
  <c r="J25" i="3" s="1"/>
  <c r="AA29" i="3"/>
  <c r="AA61" i="3"/>
  <c r="Q10" i="3"/>
  <c r="Q24" i="3" s="1"/>
  <c r="Q25" i="3" s="1"/>
  <c r="Q58" i="3" s="1"/>
  <c r="Q66" i="3" s="1"/>
  <c r="Y23" i="3"/>
  <c r="Y24" i="3" s="1"/>
  <c r="Y25" i="3" s="1"/>
  <c r="AA39" i="3"/>
  <c r="S57" i="3"/>
  <c r="AA47" i="3"/>
  <c r="K52" i="3"/>
  <c r="R50" i="3"/>
  <c r="AA12" i="3"/>
  <c r="AA9" i="3"/>
  <c r="AA11" i="3"/>
  <c r="B23" i="3"/>
  <c r="B24" i="3" s="1"/>
  <c r="O23" i="3"/>
  <c r="O24" i="3" s="1"/>
  <c r="O25" i="3" s="1"/>
  <c r="O58" i="3" s="1"/>
  <c r="O66" i="3" s="1"/>
  <c r="U45" i="3"/>
  <c r="W45" i="3" s="1"/>
  <c r="AA54" i="3"/>
  <c r="R57" i="3"/>
  <c r="U25" i="3"/>
  <c r="P23" i="3"/>
  <c r="R22" i="3"/>
  <c r="W17" i="3"/>
  <c r="AA17" i="3" s="1"/>
  <c r="H22" i="3"/>
  <c r="AA22" i="3" s="1"/>
  <c r="AA20" i="3"/>
  <c r="AA34" i="3"/>
  <c r="E52" i="3"/>
  <c r="E57" i="3" s="1"/>
  <c r="AA55" i="3"/>
  <c r="N52" i="3"/>
  <c r="N57" i="3" s="1"/>
  <c r="N58" i="3" s="1"/>
  <c r="N66" i="3" s="1"/>
  <c r="Z19" i="3"/>
  <c r="AA19" i="3" s="1"/>
  <c r="W10" i="3"/>
  <c r="H52" i="3"/>
  <c r="H57" i="3" s="1"/>
  <c r="J57" i="3"/>
  <c r="AA14" i="3"/>
  <c r="L57" i="3"/>
  <c r="L58" i="3" s="1"/>
  <c r="L66" i="3" s="1"/>
  <c r="AA56" i="3"/>
  <c r="E23" i="3"/>
  <c r="E24" i="3" s="1"/>
  <c r="E25" i="3" s="1"/>
  <c r="AA32" i="3"/>
  <c r="I52" i="3"/>
  <c r="I57" i="3" s="1"/>
  <c r="V52" i="3"/>
  <c r="AA43" i="3"/>
  <c r="F52" i="3"/>
  <c r="F57" i="3" s="1"/>
  <c r="F58" i="3" s="1"/>
  <c r="F66" i="3" s="1"/>
  <c r="W31" i="3"/>
  <c r="AA44" i="3"/>
  <c r="X23" i="3"/>
  <c r="Z23" i="3" s="1"/>
  <c r="Y57" i="3"/>
  <c r="Z31" i="3"/>
  <c r="Z63" i="3"/>
  <c r="X64" i="3"/>
  <c r="R10" i="3"/>
  <c r="AA10" i="3" s="1"/>
  <c r="M41" i="3"/>
  <c r="M52" i="3" s="1"/>
  <c r="M57" i="3" s="1"/>
  <c r="M58" i="3" s="1"/>
  <c r="M66" i="3" s="1"/>
  <c r="AA40" i="3"/>
  <c r="J52" i="3"/>
  <c r="AA41" i="3"/>
  <c r="V64" i="3"/>
  <c r="V65" i="3" s="1"/>
  <c r="W65" i="3" s="1"/>
  <c r="K57" i="3"/>
  <c r="K58" i="3" s="1"/>
  <c r="K66" i="3" s="1"/>
  <c r="S24" i="3"/>
  <c r="S25" i="3" s="1"/>
  <c r="O57" i="3"/>
  <c r="AA49" i="3"/>
  <c r="F50" i="3"/>
  <c r="W36" i="3"/>
  <c r="AA36" i="3" s="1"/>
  <c r="B64" i="3"/>
  <c r="E63" i="3"/>
  <c r="E64" i="3" s="1"/>
  <c r="E65" i="3" s="1"/>
  <c r="P64" i="3"/>
  <c r="R8" i="3"/>
  <c r="AA8" i="3" s="1"/>
  <c r="B45" i="3"/>
  <c r="R31" i="3"/>
  <c r="AA31" i="3" s="1"/>
  <c r="B40" i="1"/>
  <c r="B42" i="1" s="1"/>
  <c r="B83" i="1"/>
  <c r="J58" i="3" l="1"/>
  <c r="J66" i="3" s="1"/>
  <c r="X24" i="3"/>
  <c r="H23" i="3"/>
  <c r="H24" i="3" s="1"/>
  <c r="H25" i="3" s="1"/>
  <c r="H58" i="3" s="1"/>
  <c r="H66" i="3" s="1"/>
  <c r="W52" i="3"/>
  <c r="V24" i="3"/>
  <c r="I58" i="3"/>
  <c r="I66" i="3" s="1"/>
  <c r="AA50" i="3"/>
  <c r="Y58" i="3"/>
  <c r="Y66" i="3" s="1"/>
  <c r="S58" i="3"/>
  <c r="S66" i="3" s="1"/>
  <c r="X57" i="3"/>
  <c r="X65" i="3"/>
  <c r="Z65" i="3" s="1"/>
  <c r="Z64" i="3"/>
  <c r="X25" i="3"/>
  <c r="Z24" i="3"/>
  <c r="AA45" i="3"/>
  <c r="B52" i="3"/>
  <c r="U58" i="3"/>
  <c r="P65" i="3"/>
  <c r="R65" i="3" s="1"/>
  <c r="R64" i="3"/>
  <c r="V57" i="3"/>
  <c r="E58" i="3"/>
  <c r="E66" i="3" s="1"/>
  <c r="B65" i="3"/>
  <c r="Z57" i="3"/>
  <c r="R23" i="3"/>
  <c r="AA23" i="3" s="1"/>
  <c r="P24" i="3"/>
  <c r="W64" i="3"/>
  <c r="B25" i="3"/>
  <c r="AA63" i="3"/>
  <c r="B84" i="1"/>
  <c r="B93" i="1" s="1"/>
  <c r="V58" i="3" l="1"/>
  <c r="V66" i="3" s="1"/>
  <c r="AA64" i="3"/>
  <c r="W57" i="3"/>
  <c r="V25" i="3"/>
  <c r="W25" i="3" s="1"/>
  <c r="W24" i="3"/>
  <c r="U66" i="3"/>
  <c r="AA52" i="3"/>
  <c r="B57" i="3"/>
  <c r="AA57" i="3" s="1"/>
  <c r="P25" i="3"/>
  <c r="R24" i="3"/>
  <c r="AA24" i="3" s="1"/>
  <c r="Z25" i="3"/>
  <c r="X58" i="3"/>
  <c r="AA65" i="3"/>
  <c r="W58" i="3" l="1"/>
  <c r="W66" i="3"/>
  <c r="B58" i="3"/>
  <c r="B66" i="3"/>
  <c r="Z58" i="3"/>
  <c r="X66" i="3"/>
  <c r="Z66" i="3" s="1"/>
  <c r="R25" i="3"/>
  <c r="AA25" i="3" s="1"/>
  <c r="P58" i="3"/>
  <c r="R58" i="3" l="1"/>
  <c r="AA58" i="3" s="1"/>
  <c r="P66" i="3"/>
  <c r="R66" i="3" s="1"/>
  <c r="AA66" i="3"/>
</calcChain>
</file>

<file path=xl/sharedStrings.xml><?xml version="1.0" encoding="utf-8"?>
<sst xmlns="http://schemas.openxmlformats.org/spreadsheetml/2006/main" count="332" uniqueCount="235">
  <si>
    <t>Statement of Activity</t>
  </si>
  <si>
    <t>Rio Americano Athletic Boosters, Inc.</t>
  </si>
  <si>
    <t>June 1-September 30, 2025</t>
  </si>
  <si>
    <t>Income</t>
  </si>
  <si>
    <t>General Fundraising Income</t>
  </si>
  <si>
    <t>Accrued Investment Income</t>
  </si>
  <si>
    <t>Banner Advertising - RAAB General Fund</t>
  </si>
  <si>
    <t>Firework Booth</t>
  </si>
  <si>
    <t>General Fund Donations</t>
  </si>
  <si>
    <t>Legacy brick sales</t>
  </si>
  <si>
    <t>Membership</t>
  </si>
  <si>
    <t>Total for General Fundraising Income</t>
  </si>
  <si>
    <t>Services</t>
  </si>
  <si>
    <t>Team Fundraising Income</t>
  </si>
  <si>
    <t>Banner Advertising - Team Designated</t>
  </si>
  <si>
    <t>Cheer Pasta Feed</t>
  </si>
  <si>
    <t>Cheer Summer Program</t>
  </si>
  <si>
    <t>Cookie Dough Sales</t>
  </si>
  <si>
    <t>Designated Sport Donation</t>
  </si>
  <si>
    <t>Football Golf Tournament</t>
  </si>
  <si>
    <t>Fundraising Program</t>
  </si>
  <si>
    <t>SchoolFundr</t>
  </si>
  <si>
    <t>Vertical Raise Trust</t>
  </si>
  <si>
    <t>Total for Fundraising Program</t>
  </si>
  <si>
    <t>Snack Bar Income</t>
  </si>
  <si>
    <t>B. Basketball Snack Bar Income</t>
  </si>
  <si>
    <t>Boys Volleyball Snack Bar Income</t>
  </si>
  <si>
    <t>Boys Water Polo Snack Bar Income</t>
  </si>
  <si>
    <t>Football Snack Bar Income</t>
  </si>
  <si>
    <t>Girls Water Polo Snack Bar Income</t>
  </si>
  <si>
    <t>Total for Snack Bar Income</t>
  </si>
  <si>
    <t>Summer Camp Fundraiser</t>
  </si>
  <si>
    <t>Summer Program Income</t>
  </si>
  <si>
    <t>Tournament Income</t>
  </si>
  <si>
    <t>Swim Invitational Income</t>
  </si>
  <si>
    <t>Total for Tournament Income</t>
  </si>
  <si>
    <t>Total for Team Fundraising Income</t>
  </si>
  <si>
    <t>Total for Income</t>
  </si>
  <si>
    <t>Cost of Goods Sold</t>
  </si>
  <si>
    <t>Gross Profit</t>
  </si>
  <si>
    <t>Expenses</t>
  </si>
  <si>
    <t>Administrative Expenses</t>
  </si>
  <si>
    <t>Bank Charges</t>
  </si>
  <si>
    <t>Donation Incentives</t>
  </si>
  <si>
    <t>HUDL</t>
  </si>
  <si>
    <t>Postage</t>
  </si>
  <si>
    <t>Technology</t>
  </si>
  <si>
    <t>Total for Administrative Expenses</t>
  </si>
  <si>
    <t>General Fundraising Expenses</t>
  </si>
  <si>
    <t>Banner Expense - General</t>
  </si>
  <si>
    <t>Fireworks Booth</t>
  </si>
  <si>
    <t>Hall of Fame Expense</t>
  </si>
  <si>
    <t>Total for General Fundraising Expenses</t>
  </si>
  <si>
    <t>Sports Team Expenses</t>
  </si>
  <si>
    <t>Athletic Equipment</t>
  </si>
  <si>
    <t>Capital Equipment</t>
  </si>
  <si>
    <t>Coaches Apparel</t>
  </si>
  <si>
    <t>Coach Training/Certifications</t>
  </si>
  <si>
    <t>Field Maintenance</t>
  </si>
  <si>
    <t>General Programs Expense</t>
  </si>
  <si>
    <t>General Programs Expense - Covered by RAAB</t>
  </si>
  <si>
    <t>Total for General Programs Expense</t>
  </si>
  <si>
    <t>Senior gifts</t>
  </si>
  <si>
    <t>Stipends</t>
  </si>
  <si>
    <t>Direct Pay (1099)</t>
  </si>
  <si>
    <t>Total for Stipends</t>
  </si>
  <si>
    <t>Team Awards/Celebration</t>
  </si>
  <si>
    <t>Team Camps</t>
  </si>
  <si>
    <t>Team Meals</t>
  </si>
  <si>
    <t>Team Travel</t>
  </si>
  <si>
    <t>Team Uniforms</t>
  </si>
  <si>
    <t>Player Packs</t>
  </si>
  <si>
    <t>Total for Team Uniforms</t>
  </si>
  <si>
    <t>Tournament Fees</t>
  </si>
  <si>
    <t>Total for Sports Team Expenses</t>
  </si>
  <si>
    <t>Team Fundraising Expenses</t>
  </si>
  <si>
    <t>Snack Bar Expense</t>
  </si>
  <si>
    <t>Total for Team Fundraising Expenses</t>
  </si>
  <si>
    <t>Total for Expenses</t>
  </si>
  <si>
    <t>Net Operating Income</t>
  </si>
  <si>
    <t>Other Income</t>
  </si>
  <si>
    <t>Interest Income</t>
  </si>
  <si>
    <t>Pass-Through Income</t>
  </si>
  <si>
    <t>Total for Pass-Through Income</t>
  </si>
  <si>
    <t>Total for Other Income</t>
  </si>
  <si>
    <t>Other Expenses</t>
  </si>
  <si>
    <t>Net Other Income</t>
  </si>
  <si>
    <t>Net Income</t>
  </si>
  <si>
    <t>Distribution account</t>
  </si>
  <si>
    <t>Total</t>
  </si>
  <si>
    <t>Cash Basis Tuesday, October 07, 2025 11:22 PM GMTZ</t>
  </si>
  <si>
    <t>September 1-30, 2025</t>
  </si>
  <si>
    <t>Cash Basis Tuesday, October 07, 2025 11:23 PM GMTZ</t>
  </si>
  <si>
    <t>September 2025</t>
  </si>
  <si>
    <t>Baseball</t>
  </si>
  <si>
    <t>Basketball - Boys</t>
  </si>
  <si>
    <t>Basketball - Girls</t>
  </si>
  <si>
    <t>Cheer</t>
  </si>
  <si>
    <t>Cross Country</t>
  </si>
  <si>
    <t>Flag Football</t>
  </si>
  <si>
    <t>Football</t>
  </si>
  <si>
    <t>Lacrosse - Boys</t>
  </si>
  <si>
    <t>Soccer - Boys</t>
  </si>
  <si>
    <t>Soccer - Girls</t>
  </si>
  <si>
    <t>Swim &amp; Dive</t>
  </si>
  <si>
    <t>Tennis - Boys</t>
  </si>
  <si>
    <t>Tennis - Girls</t>
  </si>
  <si>
    <t>Track &amp; Field</t>
  </si>
  <si>
    <t>Unrestricted - General Fund</t>
  </si>
  <si>
    <t>Administration</t>
  </si>
  <si>
    <t>Total Unrestricted - General Fund</t>
  </si>
  <si>
    <t>Volleyball - Boys</t>
  </si>
  <si>
    <t>Volleyball - Girls</t>
  </si>
  <si>
    <t>Water Polo - Girls</t>
  </si>
  <si>
    <t>Water Polo - Girls - Scoreboard</t>
  </si>
  <si>
    <t>Total Water Polo - Girls</t>
  </si>
  <si>
    <t>Water Polo- Boys</t>
  </si>
  <si>
    <t>Water Polo - Boys - Scoreboard</t>
  </si>
  <si>
    <t>Total Water Polo- Boys</t>
  </si>
  <si>
    <t>TOTAL</t>
  </si>
  <si>
    <t>Revenue</t>
  </si>
  <si>
    <t xml:space="preserve">   General Fundraising Income</t>
  </si>
  <si>
    <t xml:space="preserve">      General Fund Donations</t>
  </si>
  <si>
    <t xml:space="preserve">      Membership</t>
  </si>
  <si>
    <t xml:space="preserve">   Total General Fundraising Income</t>
  </si>
  <si>
    <t xml:space="preserve">   Team Fundraising Income</t>
  </si>
  <si>
    <t xml:space="preserve">      Cheer Pasta Feed</t>
  </si>
  <si>
    <t xml:space="preserve">      Cheer Summer Program</t>
  </si>
  <si>
    <t xml:space="preserve">      Designated Sport Donation</t>
  </si>
  <si>
    <t xml:space="preserve">      Fundraising Program</t>
  </si>
  <si>
    <t xml:space="preserve">         SchoolFundr</t>
  </si>
  <si>
    <t xml:space="preserve">      Total Fundraising Program</t>
  </si>
  <si>
    <t xml:space="preserve">      Snack Bar Income</t>
  </si>
  <si>
    <t xml:space="preserve">         Boys Water Polo Snack Bar Income</t>
  </si>
  <si>
    <t xml:space="preserve">         Football Snack Bar Income</t>
  </si>
  <si>
    <t xml:space="preserve">         Girls Water Polo Snack Bar Income</t>
  </si>
  <si>
    <t xml:space="preserve">      Total Snack Bar Income</t>
  </si>
  <si>
    <t xml:space="preserve">   Total Team Fundraising Income</t>
  </si>
  <si>
    <t>Total Revenue</t>
  </si>
  <si>
    <t>Expenditures</t>
  </si>
  <si>
    <t xml:space="preserve">   Administrative Expenses</t>
  </si>
  <si>
    <t xml:space="preserve">      Bank Charges</t>
  </si>
  <si>
    <t xml:space="preserve">      Donation Incentives</t>
  </si>
  <si>
    <t xml:space="preserve">      Technology</t>
  </si>
  <si>
    <t xml:space="preserve">   Total Administrative Expenses</t>
  </si>
  <si>
    <t xml:space="preserve">   General Fundraising Expenses</t>
  </si>
  <si>
    <t xml:space="preserve">   Sports Team Expenses</t>
  </si>
  <si>
    <t xml:space="preserve">      Athletic Equipment</t>
  </si>
  <si>
    <t xml:space="preserve">      Capital Equipment</t>
  </si>
  <si>
    <t xml:space="preserve">      Coach Training/Certifications</t>
  </si>
  <si>
    <t xml:space="preserve">      Coaches Apparel</t>
  </si>
  <si>
    <t xml:space="preserve">      Field Maintenance</t>
  </si>
  <si>
    <t xml:space="preserve">      General Programs Expense</t>
  </si>
  <si>
    <t xml:space="preserve">         General Programs Expense - Covered by RAAB</t>
  </si>
  <si>
    <t xml:space="preserve">      Total General Programs Expense</t>
  </si>
  <si>
    <t xml:space="preserve">      Senior gifts</t>
  </si>
  <si>
    <t xml:space="preserve">      Stipends</t>
  </si>
  <si>
    <t xml:space="preserve">         Direct Pay (1099)</t>
  </si>
  <si>
    <t xml:space="preserve">      Total Stipends</t>
  </si>
  <si>
    <t xml:space="preserve">      Team Meals</t>
  </si>
  <si>
    <t xml:space="preserve">      Team Travel</t>
  </si>
  <si>
    <t xml:space="preserve">      Team Uniforms</t>
  </si>
  <si>
    <t xml:space="preserve">         Player Packs</t>
  </si>
  <si>
    <t xml:space="preserve">      Total Team Uniforms</t>
  </si>
  <si>
    <t xml:space="preserve">      Tournament Fees</t>
  </si>
  <si>
    <t xml:space="preserve">   Total Sports Team Expenses</t>
  </si>
  <si>
    <t xml:space="preserve">   Team Fundraising Expenses</t>
  </si>
  <si>
    <t xml:space="preserve">      Snack Bar Expense</t>
  </si>
  <si>
    <t xml:space="preserve">   Total Team Fundraising Expenses</t>
  </si>
  <si>
    <t>Total Expenditures</t>
  </si>
  <si>
    <t>Net Operating Revenue</t>
  </si>
  <si>
    <t>Other Revenue</t>
  </si>
  <si>
    <t xml:space="preserve">   Interest Income</t>
  </si>
  <si>
    <t xml:space="preserve">   Pass-Through Income</t>
  </si>
  <si>
    <t xml:space="preserve">      Player Packs</t>
  </si>
  <si>
    <t xml:space="preserve">   Total Pass-Through Income</t>
  </si>
  <si>
    <t>Total Other Revenue</t>
  </si>
  <si>
    <t>Net Other Revenue</t>
  </si>
  <si>
    <t>Net Revenue</t>
  </si>
  <si>
    <t>Beginning Balance</t>
  </si>
  <si>
    <t>Covered by RAAB General</t>
  </si>
  <si>
    <t>Adjustment to last month's balance</t>
  </si>
  <si>
    <t>New Ending Balance</t>
  </si>
  <si>
    <t>Statement of Financial Position</t>
  </si>
  <si>
    <t>As of September 30, 2025</t>
  </si>
  <si>
    <t>Assets</t>
  </si>
  <si>
    <t>Current Assets</t>
  </si>
  <si>
    <t>Bank Accounts</t>
  </si>
  <si>
    <t>Bank of America Checking 2</t>
  </si>
  <si>
    <t>BofA Savings 2</t>
  </si>
  <si>
    <t>CD Investments</t>
  </si>
  <si>
    <t>CD Investment - Maturity 2.17.26</t>
  </si>
  <si>
    <t>CD Investment - Maturity 7.16.25</t>
  </si>
  <si>
    <t>CD Investment - Maturity 8.16.25</t>
  </si>
  <si>
    <t>CD Investment - Maturity 9.25.25</t>
  </si>
  <si>
    <t>Total for CD Investments</t>
  </si>
  <si>
    <t>PayPal - RAAB</t>
  </si>
  <si>
    <t>Total for Bank Accounts</t>
  </si>
  <si>
    <t>Accounts Receivable</t>
  </si>
  <si>
    <t>Other Current Assets</t>
  </si>
  <si>
    <t>Total for Current Assets</t>
  </si>
  <si>
    <t>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</si>
  <si>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</si>
  <si>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</si>
  <si>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</si>
  <si>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</si>
  <si>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</si>
  <si>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</si>
  <si>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</si>
  <si>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Other Current Liabilities</t>
  </si>
  <si>
    <t>California Department of Tax and Fee Administration Payable</t>
  </si>
  <si>
    <t>Total for Other Current Liabilities</t>
  </si>
  <si>
    <t>Total for Current Liabilities</t>
  </si>
  <si>
    <t>Long-term Liabilities</t>
  </si>
  <si>
    <t>Total for Liabilities</t>
  </si>
  <si>
    <t>Equity</t>
  </si>
  <si>
    <t>Restricted Net Assets</t>
  </si>
  <si>
    <t>Field of Dreams</t>
  </si>
  <si>
    <t>Jack Scott Tournament</t>
  </si>
  <si>
    <t>Team Funds</t>
  </si>
  <si>
    <t>Athletic Director</t>
  </si>
  <si>
    <t>Golf - Boys</t>
  </si>
  <si>
    <t>Golf - Girls</t>
  </si>
  <si>
    <t>Lacrosse - Girls</t>
  </si>
  <si>
    <t>Softball</t>
  </si>
  <si>
    <t>Water Polo - Boys</t>
  </si>
  <si>
    <t>Total for Water Polo - Boys</t>
  </si>
  <si>
    <t>Total for Water Polo - Girls</t>
  </si>
  <si>
    <t>Wrestling</t>
  </si>
  <si>
    <t>Total for Team Funds</t>
  </si>
  <si>
    <t>Total for Restricted Net Assets</t>
  </si>
  <si>
    <t>Unrestricted Net Assets</t>
  </si>
  <si>
    <t>Total for Equity</t>
  </si>
  <si>
    <t>Total for Liabilities and Equity</t>
  </si>
  <si>
    <t>Cash Basis Tuesday, October 07, 2025 11:58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</si>
</sst>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"/>
    <numFmt numFmtId="165" formatCode="#,##0.00\ _€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3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/>
    </xf>
    <xf numFmtId="0" fontId="5" fillId="0" borderId="1" xfId="2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5" fontId="13" fillId="0" borderId="0" xfId="0" applyNumberFormat="1" applyFont="1" applyAlignment="1">
      <alignment wrapText="1"/>
    </xf>
    <xf numFmtId="43" fontId="14" fillId="0" borderId="0" xfId="0" applyNumberFormat="1" applyFont="1" applyAlignment="1">
      <alignment horizontal="left" wrapText="1"/>
    </xf>
    <xf numFmtId="0" fontId="14" fillId="0" borderId="0" xfId="0" applyFont="1"/>
    <xf numFmtId="43" fontId="14" fillId="0" borderId="0" xfId="0" applyNumberFormat="1" applyFont="1"/>
    <xf numFmtId="44" fontId="13" fillId="0" borderId="0" xfId="1" applyFont="1" applyAlignment="1">
      <alignment wrapText="1"/>
    </xf>
    <xf numFmtId="44" fontId="13" fillId="0" borderId="0" xfId="1" applyFont="1" applyAlignment="1">
      <alignment horizontal="right" wrapText="1"/>
    </xf>
    <xf numFmtId="44" fontId="0" fillId="0" borderId="0" xfId="1" applyFont="1"/>
    <xf numFmtId="44" fontId="12" fillId="0" borderId="2" xfId="1" applyFont="1" applyBorder="1" applyAlignment="1">
      <alignment horizontal="right" wrapText="1"/>
    </xf>
    <xf numFmtId="44" fontId="14" fillId="0" borderId="0" xfId="1" applyFont="1" applyAlignment="1">
      <alignment wrapText="1"/>
    </xf>
    <xf numFmtId="44" fontId="14" fillId="0" borderId="0" xfId="1" applyFont="1"/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4" fillId="0" borderId="0" xfId="0" applyFont="1" applyAlignment="1">
      <alignment horizontal="left" wrapText="1" indent="4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</cellXfs>
  <cellStyles count="5">
    <cellStyle name="Currency" xfId="1" builtinId="4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3EE2-29EA-43B8-90EF-9494620F5409}">
  <dimension ref="A1:B78"/>
  <sheetViews>
    <sheetView tabSelected="1" workbookViewId="0">
      <selection activeCell="E17" sqref="E17"/>
    </sheetView>
  </sheetViews>
  <sheetFormatPr defaultColWidth="11.25" defaultRowHeight="15.75" outlineLevelRow="5" x14ac:dyDescent="0.25"/>
  <cols>
    <col min="1" max="1" width="51.375" style="1" customWidth="1"/>
    <col min="2" max="2" width="16.125" style="1" customWidth="1"/>
  </cols>
  <sheetData>
    <row r="1" spans="1:2" x14ac:dyDescent="0.25">
      <c r="A1" s="29" t="s">
        <v>183</v>
      </c>
      <c r="B1" s="30"/>
    </row>
    <row r="2" spans="1:2" x14ac:dyDescent="0.25">
      <c r="A2" s="31" t="s">
        <v>1</v>
      </c>
      <c r="B2" s="30"/>
    </row>
    <row r="3" spans="1:2" x14ac:dyDescent="0.25">
      <c r="A3" s="32" t="s">
        <v>184</v>
      </c>
      <c r="B3" s="30"/>
    </row>
    <row r="5" spans="1:2" x14ac:dyDescent="0.25">
      <c r="A5" s="9" t="s">
        <v>88</v>
      </c>
      <c r="B5" s="9" t="s">
        <v>89</v>
      </c>
    </row>
    <row r="6" spans="1:2" x14ac:dyDescent="0.25">
      <c r="A6" s="2" t="s">
        <v>185</v>
      </c>
    </row>
    <row r="7" spans="1:2" outlineLevel="1" x14ac:dyDescent="0.25">
      <c r="A7" s="3" t="s">
        <v>186</v>
      </c>
    </row>
    <row r="8" spans="1:2" outlineLevel="2" x14ac:dyDescent="0.25">
      <c r="A8" s="4" t="s">
        <v>187</v>
      </c>
    </row>
    <row r="9" spans="1:2" outlineLevel="3" x14ac:dyDescent="0.25">
      <c r="A9" s="6" t="s">
        <v>188</v>
      </c>
      <c r="B9" s="11">
        <v>209561.93</v>
      </c>
    </row>
    <row r="10" spans="1:2" outlineLevel="3" x14ac:dyDescent="0.25">
      <c r="A10" s="6" t="s">
        <v>189</v>
      </c>
      <c r="B10" s="11">
        <v>34746.559999999998</v>
      </c>
    </row>
    <row r="11" spans="1:2" outlineLevel="3" x14ac:dyDescent="0.25">
      <c r="A11" s="6" t="s">
        <v>190</v>
      </c>
      <c r="B11" s="11">
        <v>0</v>
      </c>
    </row>
    <row r="12" spans="1:2" outlineLevel="4" x14ac:dyDescent="0.25">
      <c r="A12" s="25" t="s">
        <v>191</v>
      </c>
      <c r="B12" s="11">
        <v>67989.09</v>
      </c>
    </row>
    <row r="13" spans="1:2" outlineLevel="4" x14ac:dyDescent="0.25">
      <c r="A13" s="25" t="s">
        <v>192</v>
      </c>
      <c r="B13" s="11">
        <v>0</v>
      </c>
    </row>
    <row r="14" spans="1:2" outlineLevel="4" x14ac:dyDescent="0.25">
      <c r="A14" s="25" t="s">
        <v>193</v>
      </c>
      <c r="B14" s="11">
        <v>68460.14</v>
      </c>
    </row>
    <row r="15" spans="1:2" outlineLevel="4" x14ac:dyDescent="0.25">
      <c r="A15" s="25" t="s">
        <v>194</v>
      </c>
      <c r="B15" s="11">
        <v>68147.31</v>
      </c>
    </row>
    <row r="16" spans="1:2" outlineLevel="3" x14ac:dyDescent="0.25">
      <c r="A16" s="26" t="s">
        <v>195</v>
      </c>
      <c r="B16" s="12">
        <f>B11+B12+B13+B14+B15</f>
        <v>204596.53999999998</v>
      </c>
    </row>
    <row r="17" spans="1:2" outlineLevel="3" x14ac:dyDescent="0.25">
      <c r="A17" s="6" t="s">
        <v>196</v>
      </c>
      <c r="B17" s="11">
        <v>10</v>
      </c>
    </row>
    <row r="18" spans="1:2" outlineLevel="2" x14ac:dyDescent="0.25">
      <c r="A18" s="7" t="s">
        <v>197</v>
      </c>
      <c r="B18" s="12">
        <f>B8+B9+B10+B16+B17</f>
        <v>448915.02999999997</v>
      </c>
    </row>
    <row r="19" spans="1:2" outlineLevel="2" x14ac:dyDescent="0.25">
      <c r="A19" s="4" t="s">
        <v>198</v>
      </c>
      <c r="B19" s="10"/>
    </row>
    <row r="20" spans="1:2" outlineLevel="2" x14ac:dyDescent="0.25">
      <c r="A20" s="4" t="s">
        <v>199</v>
      </c>
      <c r="B20" s="10"/>
    </row>
    <row r="21" spans="1:2" outlineLevel="1" x14ac:dyDescent="0.25">
      <c r="A21" s="5" t="s">
        <v>200</v>
      </c>
      <c r="B21" s="12">
        <f>B7+B18+B19+B20</f>
        <v>448915.02999999997</v>
      </c>
    </row>
    <row r="22" spans="1:2" outlineLevel="1" x14ac:dyDescent="0.25">
      <c r="A22" s="3" t="s">
        <v>201</v>
      </c>
      <c r="B22" s="10"/>
    </row>
    <row r="23" spans="1:2" outlineLevel="1" x14ac:dyDescent="0.25">
      <c r="A23" s="3" t="s">
        <v>202</v>
      </c>
      <c r="B23" s="10"/>
    </row>
    <row r="24" spans="1:2" x14ac:dyDescent="0.25">
      <c r="A24" s="8" t="s">
        <v>203</v>
      </c>
      <c r="B24" s="12">
        <f>B21+B22+B23</f>
        <v>448915.02999999997</v>
      </c>
    </row>
    <row r="25" spans="1:2" x14ac:dyDescent="0.25">
      <c r="A25" s="2" t="s">
        <v>204</v>
      </c>
    </row>
    <row r="26" spans="1:2" outlineLevel="1" x14ac:dyDescent="0.25">
      <c r="A26" s="3" t="s">
        <v>205</v>
      </c>
    </row>
    <row r="27" spans="1:2" outlineLevel="2" x14ac:dyDescent="0.25">
      <c r="A27" s="4" t="s">
        <v>206</v>
      </c>
    </row>
    <row r="28" spans="1:2" outlineLevel="3" x14ac:dyDescent="0.25">
      <c r="A28" s="6" t="s">
        <v>207</v>
      </c>
      <c r="B28" s="10"/>
    </row>
    <row r="29" spans="1:2" outlineLevel="3" x14ac:dyDescent="0.25">
      <c r="A29" s="6" t="s">
        <v>208</v>
      </c>
      <c r="B29" s="10"/>
    </row>
    <row r="30" spans="1:2" outlineLevel="3" x14ac:dyDescent="0.25">
      <c r="A30" s="6" t="s">
        <v>209</v>
      </c>
    </row>
    <row r="31" spans="1:2" outlineLevel="4" x14ac:dyDescent="0.25">
      <c r="A31" s="25" t="s">
        <v>210</v>
      </c>
      <c r="B31" s="11">
        <v>0</v>
      </c>
    </row>
    <row r="32" spans="1:2" outlineLevel="3" x14ac:dyDescent="0.25">
      <c r="A32" s="26" t="s">
        <v>211</v>
      </c>
      <c r="B32" s="12">
        <f>B30+B31</f>
        <v>0</v>
      </c>
    </row>
    <row r="33" spans="1:2" outlineLevel="2" x14ac:dyDescent="0.25">
      <c r="A33" s="7" t="s">
        <v>212</v>
      </c>
      <c r="B33" s="12">
        <f>B27+B28+B29+B32</f>
        <v>0</v>
      </c>
    </row>
    <row r="34" spans="1:2" outlineLevel="2" x14ac:dyDescent="0.25">
      <c r="A34" s="4" t="s">
        <v>213</v>
      </c>
      <c r="B34" s="10"/>
    </row>
    <row r="35" spans="1:2" outlineLevel="1" x14ac:dyDescent="0.25">
      <c r="A35" s="5" t="s">
        <v>214</v>
      </c>
      <c r="B35" s="12">
        <f>B26+B33+B34</f>
        <v>0</v>
      </c>
    </row>
    <row r="36" spans="1:2" outlineLevel="1" x14ac:dyDescent="0.25">
      <c r="A36" s="3" t="s">
        <v>215</v>
      </c>
    </row>
    <row r="37" spans="1:2" outlineLevel="2" x14ac:dyDescent="0.25">
      <c r="A37" s="4" t="s">
        <v>216</v>
      </c>
      <c r="B37" s="10"/>
    </row>
    <row r="38" spans="1:2" outlineLevel="3" x14ac:dyDescent="0.25">
      <c r="A38" s="6" t="s">
        <v>217</v>
      </c>
      <c r="B38" s="11">
        <v>582</v>
      </c>
    </row>
    <row r="39" spans="1:2" outlineLevel="3" x14ac:dyDescent="0.25">
      <c r="A39" s="6" t="s">
        <v>218</v>
      </c>
      <c r="B39" s="11">
        <v>2000</v>
      </c>
    </row>
    <row r="40" spans="1:2" outlineLevel="3" x14ac:dyDescent="0.25">
      <c r="A40" s="6" t="s">
        <v>219</v>
      </c>
      <c r="B40" s="10"/>
    </row>
    <row r="41" spans="1:2" outlineLevel="4" x14ac:dyDescent="0.25">
      <c r="A41" s="25" t="s">
        <v>220</v>
      </c>
      <c r="B41" s="11">
        <v>0</v>
      </c>
    </row>
    <row r="42" spans="1:2" outlineLevel="4" x14ac:dyDescent="0.25">
      <c r="A42" s="25" t="s">
        <v>94</v>
      </c>
      <c r="B42" s="11">
        <v>27868.68</v>
      </c>
    </row>
    <row r="43" spans="1:2" outlineLevel="4" x14ac:dyDescent="0.25">
      <c r="A43" s="25" t="s">
        <v>95</v>
      </c>
      <c r="B43" s="11">
        <v>6296.85</v>
      </c>
    </row>
    <row r="44" spans="1:2" outlineLevel="4" x14ac:dyDescent="0.25">
      <c r="A44" s="25" t="s">
        <v>96</v>
      </c>
      <c r="B44" s="11">
        <v>10355.07</v>
      </c>
    </row>
    <row r="45" spans="1:2" outlineLevel="4" x14ac:dyDescent="0.25">
      <c r="A45" s="25" t="s">
        <v>97</v>
      </c>
      <c r="B45" s="11">
        <v>9784.1299999999992</v>
      </c>
    </row>
    <row r="46" spans="1:2" outlineLevel="4" x14ac:dyDescent="0.25">
      <c r="A46" s="25" t="s">
        <v>98</v>
      </c>
      <c r="B46" s="11">
        <v>3975.74</v>
      </c>
    </row>
    <row r="47" spans="1:2" outlineLevel="4" x14ac:dyDescent="0.25">
      <c r="A47" s="25" t="s">
        <v>99</v>
      </c>
      <c r="B47" s="11">
        <v>141.22</v>
      </c>
    </row>
    <row r="48" spans="1:2" outlineLevel="4" x14ac:dyDescent="0.25">
      <c r="A48" s="25" t="s">
        <v>100</v>
      </c>
      <c r="B48" s="11">
        <v>-1321.75</v>
      </c>
    </row>
    <row r="49" spans="1:2" outlineLevel="4" x14ac:dyDescent="0.25">
      <c r="A49" s="25" t="s">
        <v>221</v>
      </c>
      <c r="B49" s="11">
        <v>2279.9299999999998</v>
      </c>
    </row>
    <row r="50" spans="1:2" outlineLevel="4" x14ac:dyDescent="0.25">
      <c r="A50" s="25" t="s">
        <v>222</v>
      </c>
      <c r="B50" s="11">
        <v>520</v>
      </c>
    </row>
    <row r="51" spans="1:2" outlineLevel="4" x14ac:dyDescent="0.25">
      <c r="A51" s="25" t="s">
        <v>101</v>
      </c>
      <c r="B51" s="11">
        <v>1723.48</v>
      </c>
    </row>
    <row r="52" spans="1:2" outlineLevel="4" x14ac:dyDescent="0.25">
      <c r="A52" s="25" t="s">
        <v>223</v>
      </c>
      <c r="B52" s="11">
        <v>10135.02</v>
      </c>
    </row>
    <row r="53" spans="1:2" outlineLevel="4" x14ac:dyDescent="0.25">
      <c r="A53" s="25" t="s">
        <v>102</v>
      </c>
      <c r="B53" s="11">
        <v>2107.48</v>
      </c>
    </row>
    <row r="54" spans="1:2" outlineLevel="4" x14ac:dyDescent="0.25">
      <c r="A54" s="25" t="s">
        <v>103</v>
      </c>
      <c r="B54" s="11">
        <v>8120.24</v>
      </c>
    </row>
    <row r="55" spans="1:2" outlineLevel="4" x14ac:dyDescent="0.25">
      <c r="A55" s="25" t="s">
        <v>224</v>
      </c>
      <c r="B55" s="11">
        <v>280.74</v>
      </c>
    </row>
    <row r="56" spans="1:2" outlineLevel="4" x14ac:dyDescent="0.25">
      <c r="A56" s="25" t="s">
        <v>104</v>
      </c>
      <c r="B56" s="11">
        <v>10278.459999999999</v>
      </c>
    </row>
    <row r="57" spans="1:2" outlineLevel="4" x14ac:dyDescent="0.25">
      <c r="A57" s="25" t="s">
        <v>105</v>
      </c>
      <c r="B57" s="11">
        <v>298.86</v>
      </c>
    </row>
    <row r="58" spans="1:2" outlineLevel="4" x14ac:dyDescent="0.25">
      <c r="A58" s="25" t="s">
        <v>106</v>
      </c>
      <c r="B58" s="11">
        <v>3672.42</v>
      </c>
    </row>
    <row r="59" spans="1:2" outlineLevel="4" x14ac:dyDescent="0.25">
      <c r="A59" s="25" t="s">
        <v>107</v>
      </c>
      <c r="B59" s="11">
        <v>8931.41</v>
      </c>
    </row>
    <row r="60" spans="1:2" outlineLevel="4" x14ac:dyDescent="0.25">
      <c r="A60" s="25" t="s">
        <v>111</v>
      </c>
      <c r="B60" s="11">
        <v>9996.6200000000008</v>
      </c>
    </row>
    <row r="61" spans="1:2" outlineLevel="4" x14ac:dyDescent="0.25">
      <c r="A61" s="25" t="s">
        <v>112</v>
      </c>
      <c r="B61" s="11">
        <v>265.08999999999997</v>
      </c>
    </row>
    <row r="62" spans="1:2" outlineLevel="4" x14ac:dyDescent="0.25">
      <c r="A62" s="25" t="s">
        <v>225</v>
      </c>
      <c r="B62" s="11">
        <v>2420.36</v>
      </c>
    </row>
    <row r="63" spans="1:2" outlineLevel="5" x14ac:dyDescent="0.25">
      <c r="A63" s="27" t="s">
        <v>117</v>
      </c>
      <c r="B63" s="11">
        <v>2638.16</v>
      </c>
    </row>
    <row r="64" spans="1:2" outlineLevel="4" x14ac:dyDescent="0.25">
      <c r="A64" s="28" t="s">
        <v>226</v>
      </c>
      <c r="B64" s="12">
        <f>B62+B63</f>
        <v>5058.5200000000004</v>
      </c>
    </row>
    <row r="65" spans="1:2" outlineLevel="4" x14ac:dyDescent="0.25">
      <c r="A65" s="25" t="s">
        <v>113</v>
      </c>
      <c r="B65" s="11">
        <v>7268.27</v>
      </c>
    </row>
    <row r="66" spans="1:2" outlineLevel="5" x14ac:dyDescent="0.25">
      <c r="A66" s="27" t="s">
        <v>114</v>
      </c>
      <c r="B66" s="11">
        <v>6932.87</v>
      </c>
    </row>
    <row r="67" spans="1:2" outlineLevel="4" x14ac:dyDescent="0.25">
      <c r="A67" s="28" t="s">
        <v>227</v>
      </c>
      <c r="B67" s="12">
        <f>B65+B66</f>
        <v>14201.14</v>
      </c>
    </row>
    <row r="68" spans="1:2" outlineLevel="4" x14ac:dyDescent="0.25">
      <c r="A68" s="25" t="s">
        <v>228</v>
      </c>
      <c r="B68" s="11">
        <v>6670.92</v>
      </c>
    </row>
    <row r="69" spans="1:2" outlineLevel="3" x14ac:dyDescent="0.25">
      <c r="A69" s="26" t="s">
        <v>229</v>
      </c>
      <c r="B69" s="12">
        <f>B40+B41+B42+B43+B44+B45+B46+B47+B48+B49+B50+B51+B52+B53+B54+B55+B56+B57+B58+B59+B60+B61+B64+B67+B68</f>
        <v>141640.27000000002</v>
      </c>
    </row>
    <row r="70" spans="1:2" outlineLevel="2" x14ac:dyDescent="0.25">
      <c r="A70" s="7" t="s">
        <v>230</v>
      </c>
      <c r="B70" s="12">
        <f>B37+B38+B39+B69</f>
        <v>144222.27000000002</v>
      </c>
    </row>
    <row r="71" spans="1:2" outlineLevel="2" x14ac:dyDescent="0.25">
      <c r="A71" s="4" t="s">
        <v>231</v>
      </c>
      <c r="B71" s="11">
        <v>326997.26000000094</v>
      </c>
    </row>
    <row r="72" spans="1:2" outlineLevel="2" x14ac:dyDescent="0.25">
      <c r="A72" s="4" t="s">
        <v>87</v>
      </c>
      <c r="B72" s="11">
        <v>-22304.499999999949</v>
      </c>
    </row>
    <row r="73" spans="1:2" outlineLevel="1" x14ac:dyDescent="0.25">
      <c r="A73" s="5" t="s">
        <v>232</v>
      </c>
      <c r="B73" s="12">
        <f>B36+B70+B71+B72</f>
        <v>448915.03000000102</v>
      </c>
    </row>
    <row r="74" spans="1:2" x14ac:dyDescent="0.25">
      <c r="A74" s="8" t="s">
        <v>233</v>
      </c>
      <c r="B74" s="12">
        <f>B35+B73</f>
        <v>448915.03000000102</v>
      </c>
    </row>
    <row r="78" spans="1:2" x14ac:dyDescent="0.25">
      <c r="A78" s="33" t="s">
        <v>234</v>
      </c>
      <c r="B78" s="30"/>
    </row>
  </sheetData>
  <mergeCells count="4">
    <mergeCell ref="A1:B1"/>
    <mergeCell ref="A2:B2"/>
    <mergeCell ref="A3:B3"/>
    <mergeCell ref="A78:B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97"/>
  <sheetViews>
    <sheetView workbookViewId="0">
      <selection activeCell="E18" sqref="E18"/>
    </sheetView>
  </sheetViews>
  <sheetFormatPr defaultColWidth="11.25" defaultRowHeight="15.75" outlineLevelRow="3" x14ac:dyDescent="0.25"/>
  <cols>
    <col min="1" max="1" width="36.75" style="1" customWidth="1"/>
    <col min="2" max="2" width="17" style="1" customWidth="1"/>
  </cols>
  <sheetData>
    <row r="1" spans="1:2" x14ac:dyDescent="0.25">
      <c r="A1" s="29" t="s">
        <v>0</v>
      </c>
      <c r="B1" s="30"/>
    </row>
    <row r="2" spans="1:2" x14ac:dyDescent="0.25">
      <c r="A2" s="31" t="s">
        <v>1</v>
      </c>
      <c r="B2" s="30"/>
    </row>
    <row r="3" spans="1:2" x14ac:dyDescent="0.25">
      <c r="A3" s="32" t="s">
        <v>2</v>
      </c>
      <c r="B3" s="30"/>
    </row>
    <row r="5" spans="1:2" x14ac:dyDescent="0.25">
      <c r="A5" s="9" t="s">
        <v>88</v>
      </c>
      <c r="B5" s="9" t="s">
        <v>89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5</v>
      </c>
      <c r="B8" s="11">
        <v>1426.36</v>
      </c>
    </row>
    <row r="9" spans="1:2" outlineLevel="2" x14ac:dyDescent="0.25">
      <c r="A9" s="4" t="s">
        <v>6</v>
      </c>
      <c r="B9" s="11">
        <v>400</v>
      </c>
    </row>
    <row r="10" spans="1:2" outlineLevel="2" x14ac:dyDescent="0.25">
      <c r="A10" s="4" t="s">
        <v>7</v>
      </c>
      <c r="B10" s="11">
        <v>53344.98</v>
      </c>
    </row>
    <row r="11" spans="1:2" outlineLevel="2" x14ac:dyDescent="0.25">
      <c r="A11" s="4" t="s">
        <v>8</v>
      </c>
      <c r="B11" s="11">
        <v>44.6</v>
      </c>
    </row>
    <row r="12" spans="1:2" outlineLevel="2" x14ac:dyDescent="0.25">
      <c r="A12" s="4" t="s">
        <v>9</v>
      </c>
      <c r="B12" s="11">
        <v>582</v>
      </c>
    </row>
    <row r="13" spans="1:2" outlineLevel="2" x14ac:dyDescent="0.25">
      <c r="A13" s="4" t="s">
        <v>10</v>
      </c>
      <c r="B13" s="11">
        <v>38840</v>
      </c>
    </row>
    <row r="14" spans="1:2" outlineLevel="1" x14ac:dyDescent="0.25">
      <c r="A14" s="5" t="s">
        <v>11</v>
      </c>
      <c r="B14" s="12">
        <f>B7+B8+B9+B10+B11+B12+B13</f>
        <v>94637.94</v>
      </c>
    </row>
    <row r="15" spans="1:2" outlineLevel="1" x14ac:dyDescent="0.25">
      <c r="A15" s="3" t="s">
        <v>12</v>
      </c>
      <c r="B15" s="11">
        <v>74.75</v>
      </c>
    </row>
    <row r="16" spans="1:2" outlineLevel="1" x14ac:dyDescent="0.25">
      <c r="A16" s="3" t="s">
        <v>13</v>
      </c>
      <c r="B16" s="10"/>
    </row>
    <row r="17" spans="1:2" outlineLevel="2" x14ac:dyDescent="0.25">
      <c r="A17" s="4" t="s">
        <v>14</v>
      </c>
      <c r="B17" s="11">
        <v>500</v>
      </c>
    </row>
    <row r="18" spans="1:2" outlineLevel="2" x14ac:dyDescent="0.25">
      <c r="A18" s="4" t="s">
        <v>15</v>
      </c>
      <c r="B18" s="11">
        <v>178</v>
      </c>
    </row>
    <row r="19" spans="1:2" outlineLevel="2" x14ac:dyDescent="0.25">
      <c r="A19" s="4" t="s">
        <v>16</v>
      </c>
      <c r="B19" s="11">
        <v>12580</v>
      </c>
    </row>
    <row r="20" spans="1:2" outlineLevel="2" x14ac:dyDescent="0.25">
      <c r="A20" s="4" t="s">
        <v>17</v>
      </c>
      <c r="B20" s="11">
        <v>10646</v>
      </c>
    </row>
    <row r="21" spans="1:2" outlineLevel="2" x14ac:dyDescent="0.25">
      <c r="A21" s="4" t="s">
        <v>18</v>
      </c>
      <c r="B21" s="11">
        <v>9330.1200000000008</v>
      </c>
    </row>
    <row r="22" spans="1:2" outlineLevel="2" x14ac:dyDescent="0.25">
      <c r="A22" s="4" t="s">
        <v>19</v>
      </c>
      <c r="B22" s="11">
        <v>29857.53</v>
      </c>
    </row>
    <row r="23" spans="1:2" outlineLevel="2" x14ac:dyDescent="0.25">
      <c r="A23" s="4" t="s">
        <v>20</v>
      </c>
      <c r="B23" s="10"/>
    </row>
    <row r="24" spans="1:2" outlineLevel="3" x14ac:dyDescent="0.25">
      <c r="A24" s="6" t="s">
        <v>21</v>
      </c>
      <c r="B24" s="11">
        <v>21689.77</v>
      </c>
    </row>
    <row r="25" spans="1:2" outlineLevel="3" x14ac:dyDescent="0.25">
      <c r="A25" s="6" t="s">
        <v>22</v>
      </c>
      <c r="B25" s="11">
        <v>6.63</v>
      </c>
    </row>
    <row r="26" spans="1:2" outlineLevel="2" x14ac:dyDescent="0.25">
      <c r="A26" s="7" t="s">
        <v>23</v>
      </c>
      <c r="B26" s="12">
        <f>B23+B24+B25</f>
        <v>21696.400000000001</v>
      </c>
    </row>
    <row r="27" spans="1:2" outlineLevel="2" x14ac:dyDescent="0.25">
      <c r="A27" s="4" t="s">
        <v>24</v>
      </c>
      <c r="B27" s="11">
        <v>149</v>
      </c>
    </row>
    <row r="28" spans="1:2" outlineLevel="3" x14ac:dyDescent="0.25">
      <c r="A28" s="6" t="s">
        <v>25</v>
      </c>
      <c r="B28" s="11">
        <v>742</v>
      </c>
    </row>
    <row r="29" spans="1:2" outlineLevel="3" x14ac:dyDescent="0.25">
      <c r="A29" s="6" t="s">
        <v>26</v>
      </c>
      <c r="B29" s="11">
        <v>143</v>
      </c>
    </row>
    <row r="30" spans="1:2" outlineLevel="3" x14ac:dyDescent="0.25">
      <c r="A30" s="6" t="s">
        <v>27</v>
      </c>
      <c r="B30" s="11">
        <v>105.57</v>
      </c>
    </row>
    <row r="31" spans="1:2" outlineLevel="3" x14ac:dyDescent="0.25">
      <c r="A31" s="6" t="s">
        <v>28</v>
      </c>
      <c r="B31" s="11">
        <v>6013.48</v>
      </c>
    </row>
    <row r="32" spans="1:2" outlineLevel="3" x14ac:dyDescent="0.25">
      <c r="A32" s="6" t="s">
        <v>29</v>
      </c>
      <c r="B32" s="11">
        <v>105.58</v>
      </c>
    </row>
    <row r="33" spans="1:2" outlineLevel="2" x14ac:dyDescent="0.25">
      <c r="A33" s="7" t="s">
        <v>30</v>
      </c>
      <c r="B33" s="12">
        <f>B27+B28+B29+B30+B31+B32</f>
        <v>7258.6299999999992</v>
      </c>
    </row>
    <row r="34" spans="1:2" outlineLevel="2" x14ac:dyDescent="0.25">
      <c r="A34" s="4" t="s">
        <v>31</v>
      </c>
      <c r="B34" s="11">
        <v>9592.25</v>
      </c>
    </row>
    <row r="35" spans="1:2" outlineLevel="2" x14ac:dyDescent="0.25">
      <c r="A35" s="4" t="s">
        <v>32</v>
      </c>
      <c r="B35" s="11">
        <v>2938</v>
      </c>
    </row>
    <row r="36" spans="1:2" outlineLevel="2" x14ac:dyDescent="0.25">
      <c r="A36" s="4" t="s">
        <v>33</v>
      </c>
      <c r="B36" s="10"/>
    </row>
    <row r="37" spans="1:2" outlineLevel="3" x14ac:dyDescent="0.25">
      <c r="A37" s="6" t="s">
        <v>34</v>
      </c>
      <c r="B37" s="11">
        <v>1350</v>
      </c>
    </row>
    <row r="38" spans="1:2" outlineLevel="2" x14ac:dyDescent="0.25">
      <c r="A38" s="7" t="s">
        <v>35</v>
      </c>
      <c r="B38" s="12">
        <f>B36+B37</f>
        <v>1350</v>
      </c>
    </row>
    <row r="39" spans="1:2" outlineLevel="1" x14ac:dyDescent="0.25">
      <c r="A39" s="5" t="s">
        <v>36</v>
      </c>
      <c r="B39" s="12">
        <f>B16+B17+B18+B19+B20+B21+B22+B26+B33+B34+B35+B38</f>
        <v>105926.93000000001</v>
      </c>
    </row>
    <row r="40" spans="1:2" x14ac:dyDescent="0.25">
      <c r="A40" s="8" t="s">
        <v>37</v>
      </c>
      <c r="B40" s="12">
        <f>B14+B15+B39</f>
        <v>200639.62</v>
      </c>
    </row>
    <row r="41" spans="1:2" x14ac:dyDescent="0.25">
      <c r="A41" s="2" t="s">
        <v>38</v>
      </c>
      <c r="B41" s="10"/>
    </row>
    <row r="42" spans="1:2" x14ac:dyDescent="0.25">
      <c r="A42" s="8" t="s">
        <v>39</v>
      </c>
      <c r="B42" s="12">
        <f>B40-B41</f>
        <v>200639.62</v>
      </c>
    </row>
    <row r="43" spans="1:2" x14ac:dyDescent="0.25">
      <c r="A43" s="2" t="s">
        <v>40</v>
      </c>
    </row>
    <row r="44" spans="1:2" outlineLevel="1" x14ac:dyDescent="0.25">
      <c r="A44" s="3" t="s">
        <v>41</v>
      </c>
      <c r="B44" s="11">
        <v>1068.46</v>
      </c>
    </row>
    <row r="45" spans="1:2" outlineLevel="2" x14ac:dyDescent="0.25">
      <c r="A45" s="4" t="s">
        <v>42</v>
      </c>
      <c r="B45" s="11">
        <v>0.3</v>
      </c>
    </row>
    <row r="46" spans="1:2" outlineLevel="2" x14ac:dyDescent="0.25">
      <c r="A46" s="4" t="s">
        <v>43</v>
      </c>
      <c r="B46" s="11">
        <v>500</v>
      </c>
    </row>
    <row r="47" spans="1:2" outlineLevel="2" x14ac:dyDescent="0.25">
      <c r="A47" s="4" t="s">
        <v>44</v>
      </c>
      <c r="B47" s="11">
        <v>9500</v>
      </c>
    </row>
    <row r="48" spans="1:2" outlineLevel="2" x14ac:dyDescent="0.25">
      <c r="A48" s="4" t="s">
        <v>45</v>
      </c>
      <c r="B48" s="11">
        <v>86.55</v>
      </c>
    </row>
    <row r="49" spans="1:2" outlineLevel="2" x14ac:dyDescent="0.25">
      <c r="A49" s="4" t="s">
        <v>46</v>
      </c>
      <c r="B49" s="11">
        <v>444</v>
      </c>
    </row>
    <row r="50" spans="1:2" outlineLevel="1" x14ac:dyDescent="0.25">
      <c r="A50" s="5" t="s">
        <v>47</v>
      </c>
      <c r="B50" s="12">
        <f>B44+B45+B46+B47+B48+B49</f>
        <v>11599.31</v>
      </c>
    </row>
    <row r="51" spans="1:2" outlineLevel="1" x14ac:dyDescent="0.25">
      <c r="A51" s="3" t="s">
        <v>48</v>
      </c>
      <c r="B51" s="11">
        <v>867.24</v>
      </c>
    </row>
    <row r="52" spans="1:2" outlineLevel="2" x14ac:dyDescent="0.25">
      <c r="A52" s="4" t="s">
        <v>49</v>
      </c>
      <c r="B52" s="11">
        <v>264</v>
      </c>
    </row>
    <row r="53" spans="1:2" outlineLevel="2" x14ac:dyDescent="0.25">
      <c r="A53" s="4" t="s">
        <v>50</v>
      </c>
      <c r="B53" s="11">
        <v>12524.8</v>
      </c>
    </row>
    <row r="54" spans="1:2" outlineLevel="2" x14ac:dyDescent="0.25">
      <c r="A54" s="4" t="s">
        <v>51</v>
      </c>
      <c r="B54" s="11">
        <v>631.85</v>
      </c>
    </row>
    <row r="55" spans="1:2" outlineLevel="1" x14ac:dyDescent="0.25">
      <c r="A55" s="5" t="s">
        <v>52</v>
      </c>
      <c r="B55" s="12">
        <f>B51+B52+B53+B54</f>
        <v>14287.89</v>
      </c>
    </row>
    <row r="56" spans="1:2" outlineLevel="1" x14ac:dyDescent="0.25">
      <c r="A56" s="3" t="s">
        <v>53</v>
      </c>
      <c r="B56" s="10"/>
    </row>
    <row r="57" spans="1:2" outlineLevel="2" x14ac:dyDescent="0.25">
      <c r="A57" s="4" t="s">
        <v>54</v>
      </c>
      <c r="B57" s="11">
        <v>21599.87</v>
      </c>
    </row>
    <row r="58" spans="1:2" outlineLevel="2" x14ac:dyDescent="0.25">
      <c r="A58" s="4" t="s">
        <v>55</v>
      </c>
      <c r="B58" s="11">
        <v>9004.58</v>
      </c>
    </row>
    <row r="59" spans="1:2" outlineLevel="2" x14ac:dyDescent="0.25">
      <c r="A59" s="4" t="s">
        <v>56</v>
      </c>
      <c r="B59" s="11">
        <v>615.41</v>
      </c>
    </row>
    <row r="60" spans="1:2" outlineLevel="2" x14ac:dyDescent="0.25">
      <c r="A60" s="4" t="s">
        <v>57</v>
      </c>
      <c r="B60" s="11">
        <v>290</v>
      </c>
    </row>
    <row r="61" spans="1:2" outlineLevel="2" x14ac:dyDescent="0.25">
      <c r="A61" s="4" t="s">
        <v>58</v>
      </c>
      <c r="B61" s="11">
        <v>531.80999999999995</v>
      </c>
    </row>
    <row r="62" spans="1:2" outlineLevel="2" x14ac:dyDescent="0.25">
      <c r="A62" s="4" t="s">
        <v>59</v>
      </c>
      <c r="B62" s="11">
        <v>2781.04</v>
      </c>
    </row>
    <row r="63" spans="1:2" outlineLevel="3" x14ac:dyDescent="0.25">
      <c r="A63" s="6" t="s">
        <v>60</v>
      </c>
      <c r="B63" s="11">
        <v>772.44</v>
      </c>
    </row>
    <row r="64" spans="1:2" outlineLevel="2" x14ac:dyDescent="0.25">
      <c r="A64" s="7" t="s">
        <v>61</v>
      </c>
      <c r="B64" s="12">
        <f>B62+B63</f>
        <v>3553.48</v>
      </c>
    </row>
    <row r="65" spans="1:2" outlineLevel="2" x14ac:dyDescent="0.25">
      <c r="A65" s="4" t="s">
        <v>62</v>
      </c>
      <c r="B65" s="11">
        <v>1101.99</v>
      </c>
    </row>
    <row r="66" spans="1:2" outlineLevel="2" x14ac:dyDescent="0.25">
      <c r="A66" s="4" t="s">
        <v>63</v>
      </c>
      <c r="B66" s="11">
        <v>76443.41</v>
      </c>
    </row>
    <row r="67" spans="1:2" outlineLevel="3" x14ac:dyDescent="0.25">
      <c r="A67" s="6" t="s">
        <v>64</v>
      </c>
      <c r="B67" s="11">
        <v>9621</v>
      </c>
    </row>
    <row r="68" spans="1:2" outlineLevel="2" x14ac:dyDescent="0.25">
      <c r="A68" s="7" t="s">
        <v>65</v>
      </c>
      <c r="B68" s="12">
        <f>B66+B67</f>
        <v>86064.41</v>
      </c>
    </row>
    <row r="69" spans="1:2" outlineLevel="2" x14ac:dyDescent="0.25">
      <c r="A69" s="4" t="s">
        <v>66</v>
      </c>
      <c r="B69" s="11">
        <v>886.43</v>
      </c>
    </row>
    <row r="70" spans="1:2" outlineLevel="2" x14ac:dyDescent="0.25">
      <c r="A70" s="4" t="s">
        <v>67</v>
      </c>
      <c r="B70" s="11">
        <v>5881.56</v>
      </c>
    </row>
    <row r="71" spans="1:2" outlineLevel="2" x14ac:dyDescent="0.25">
      <c r="A71" s="4" t="s">
        <v>68</v>
      </c>
      <c r="B71" s="11">
        <v>4678.42</v>
      </c>
    </row>
    <row r="72" spans="1:2" outlineLevel="2" x14ac:dyDescent="0.25">
      <c r="A72" s="4" t="s">
        <v>69</v>
      </c>
      <c r="B72" s="11">
        <v>29246.33</v>
      </c>
    </row>
    <row r="73" spans="1:2" outlineLevel="2" x14ac:dyDescent="0.25">
      <c r="A73" s="4" t="s">
        <v>70</v>
      </c>
      <c r="B73" s="11">
        <v>1386.88</v>
      </c>
    </row>
    <row r="74" spans="1:2" outlineLevel="3" x14ac:dyDescent="0.25">
      <c r="A74" s="6" t="s">
        <v>71</v>
      </c>
      <c r="B74" s="11">
        <v>28796.400000000001</v>
      </c>
    </row>
    <row r="75" spans="1:2" outlineLevel="2" x14ac:dyDescent="0.25">
      <c r="A75" s="7" t="s">
        <v>72</v>
      </c>
      <c r="B75" s="12">
        <f>B73+B74</f>
        <v>30183.280000000002</v>
      </c>
    </row>
    <row r="76" spans="1:2" outlineLevel="2" x14ac:dyDescent="0.25">
      <c r="A76" s="4" t="s">
        <v>73</v>
      </c>
      <c r="B76" s="11">
        <v>11626</v>
      </c>
    </row>
    <row r="77" spans="1:2" outlineLevel="1" x14ac:dyDescent="0.25">
      <c r="A77" s="5" t="s">
        <v>74</v>
      </c>
      <c r="B77" s="12">
        <f>B56+B57+B58+B59+B60+B61+B64+B65+B68+B69+B70+B71+B72+B75+B76</f>
        <v>205263.56999999998</v>
      </c>
    </row>
    <row r="78" spans="1:2" outlineLevel="1" x14ac:dyDescent="0.25">
      <c r="A78" s="3" t="s">
        <v>75</v>
      </c>
      <c r="B78" s="11">
        <v>11752.75</v>
      </c>
    </row>
    <row r="79" spans="1:2" outlineLevel="2" x14ac:dyDescent="0.25">
      <c r="A79" s="4" t="s">
        <v>15</v>
      </c>
      <c r="B79" s="11">
        <v>400.75</v>
      </c>
    </row>
    <row r="80" spans="1:2" outlineLevel="2" x14ac:dyDescent="0.25">
      <c r="A80" s="4" t="s">
        <v>19</v>
      </c>
      <c r="B80" s="11">
        <v>12047.88</v>
      </c>
    </row>
    <row r="81" spans="1:2" outlineLevel="2" x14ac:dyDescent="0.25">
      <c r="A81" s="4" t="s">
        <v>76</v>
      </c>
      <c r="B81" s="11">
        <v>2348.7399999999998</v>
      </c>
    </row>
    <row r="82" spans="1:2" outlineLevel="1" x14ac:dyDescent="0.25">
      <c r="A82" s="5" t="s">
        <v>77</v>
      </c>
      <c r="B82" s="12">
        <f>B78+B79+B80+B81</f>
        <v>26550.119999999995</v>
      </c>
    </row>
    <row r="83" spans="1:2" x14ac:dyDescent="0.25">
      <c r="A83" s="8" t="s">
        <v>78</v>
      </c>
      <c r="B83" s="12">
        <f>B50+B55+B77+B82</f>
        <v>257700.88999999996</v>
      </c>
    </row>
    <row r="84" spans="1:2" x14ac:dyDescent="0.25">
      <c r="A84" s="8" t="s">
        <v>79</v>
      </c>
      <c r="B84" s="12">
        <f>B42-B83</f>
        <v>-57061.26999999996</v>
      </c>
    </row>
    <row r="85" spans="1:2" x14ac:dyDescent="0.25">
      <c r="A85" s="2" t="s">
        <v>80</v>
      </c>
    </row>
    <row r="86" spans="1:2" outlineLevel="1" x14ac:dyDescent="0.25">
      <c r="A86" s="3" t="s">
        <v>81</v>
      </c>
      <c r="B86" s="11">
        <v>4.6399999999999997</v>
      </c>
    </row>
    <row r="87" spans="1:2" outlineLevel="1" x14ac:dyDescent="0.25">
      <c r="A87" s="3" t="s">
        <v>82</v>
      </c>
      <c r="B87" s="11">
        <v>26386</v>
      </c>
    </row>
    <row r="88" spans="1:2" outlineLevel="2" x14ac:dyDescent="0.25">
      <c r="A88" s="4" t="s">
        <v>71</v>
      </c>
      <c r="B88" s="11">
        <v>8366.1299999999992</v>
      </c>
    </row>
    <row r="89" spans="1:2" outlineLevel="1" x14ac:dyDescent="0.25">
      <c r="A89" s="5" t="s">
        <v>83</v>
      </c>
      <c r="B89" s="12">
        <f>B87+B88</f>
        <v>34752.129999999997</v>
      </c>
    </row>
    <row r="90" spans="1:2" x14ac:dyDescent="0.25">
      <c r="A90" s="8" t="s">
        <v>84</v>
      </c>
      <c r="B90" s="12">
        <f>B86+B89</f>
        <v>34756.769999999997</v>
      </c>
    </row>
    <row r="91" spans="1:2" x14ac:dyDescent="0.25">
      <c r="A91" s="2" t="s">
        <v>85</v>
      </c>
      <c r="B91" s="10"/>
    </row>
    <row r="92" spans="1:2" x14ac:dyDescent="0.25">
      <c r="A92" s="8" t="s">
        <v>86</v>
      </c>
      <c r="B92" s="12">
        <f>B90-B91</f>
        <v>34756.769999999997</v>
      </c>
    </row>
    <row r="93" spans="1:2" x14ac:dyDescent="0.25">
      <c r="A93" s="8" t="s">
        <v>87</v>
      </c>
      <c r="B93" s="12">
        <f>B84+B92</f>
        <v>-22304.499999999964</v>
      </c>
    </row>
    <row r="97" spans="1:2" x14ac:dyDescent="0.25">
      <c r="A97" s="33" t="s">
        <v>90</v>
      </c>
      <c r="B97" s="30"/>
    </row>
  </sheetData>
  <mergeCells count="4">
    <mergeCell ref="A1:B1"/>
    <mergeCell ref="A2:B2"/>
    <mergeCell ref="A3:B3"/>
    <mergeCell ref="A97:B97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5D15-29E8-455F-9D64-7DDA56E3C378}">
  <dimension ref="A1:B72"/>
  <sheetViews>
    <sheetView workbookViewId="0">
      <selection activeCell="D15" sqref="D15"/>
    </sheetView>
  </sheetViews>
  <sheetFormatPr defaultColWidth="11.25" defaultRowHeight="15.75" outlineLevelRow="3" x14ac:dyDescent="0.25"/>
  <cols>
    <col min="1" max="1" width="36.75" style="1" customWidth="1"/>
    <col min="2" max="2" width="16.125" style="1" customWidth="1"/>
  </cols>
  <sheetData>
    <row r="1" spans="1:2" x14ac:dyDescent="0.25">
      <c r="A1" s="29" t="s">
        <v>0</v>
      </c>
      <c r="B1" s="30"/>
    </row>
    <row r="2" spans="1:2" x14ac:dyDescent="0.25">
      <c r="A2" s="31" t="s">
        <v>1</v>
      </c>
      <c r="B2" s="30"/>
    </row>
    <row r="3" spans="1:2" x14ac:dyDescent="0.25">
      <c r="A3" s="32" t="s">
        <v>91</v>
      </c>
      <c r="B3" s="30"/>
    </row>
    <row r="5" spans="1:2" x14ac:dyDescent="0.25">
      <c r="A5" s="9" t="s">
        <v>88</v>
      </c>
      <c r="B5" s="9" t="s">
        <v>89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8</v>
      </c>
      <c r="B8" s="11">
        <v>20.6</v>
      </c>
    </row>
    <row r="9" spans="1:2" outlineLevel="2" x14ac:dyDescent="0.25">
      <c r="A9" s="4" t="s">
        <v>10</v>
      </c>
      <c r="B9" s="11">
        <v>7000</v>
      </c>
    </row>
    <row r="10" spans="1:2" outlineLevel="1" x14ac:dyDescent="0.25">
      <c r="A10" s="5" t="s">
        <v>11</v>
      </c>
      <c r="B10" s="12">
        <f>B7+B8+B9</f>
        <v>7020.6</v>
      </c>
    </row>
    <row r="11" spans="1:2" outlineLevel="1" x14ac:dyDescent="0.25">
      <c r="A11" s="3" t="s">
        <v>13</v>
      </c>
      <c r="B11" s="10"/>
    </row>
    <row r="12" spans="1:2" outlineLevel="2" x14ac:dyDescent="0.25">
      <c r="A12" s="4" t="s">
        <v>15</v>
      </c>
      <c r="B12" s="11">
        <v>178</v>
      </c>
    </row>
    <row r="13" spans="1:2" outlineLevel="2" x14ac:dyDescent="0.25">
      <c r="A13" s="4" t="s">
        <v>16</v>
      </c>
      <c r="B13" s="11">
        <v>2430</v>
      </c>
    </row>
    <row r="14" spans="1:2" outlineLevel="2" x14ac:dyDescent="0.25">
      <c r="A14" s="4" t="s">
        <v>18</v>
      </c>
      <c r="B14" s="11">
        <v>8608.5499999999993</v>
      </c>
    </row>
    <row r="15" spans="1:2" outlineLevel="2" x14ac:dyDescent="0.25">
      <c r="A15" s="4" t="s">
        <v>20</v>
      </c>
      <c r="B15" s="10"/>
    </row>
    <row r="16" spans="1:2" outlineLevel="3" x14ac:dyDescent="0.25">
      <c r="A16" s="6" t="s">
        <v>21</v>
      </c>
      <c r="B16" s="11">
        <v>21689.77</v>
      </c>
    </row>
    <row r="17" spans="1:2" outlineLevel="2" x14ac:dyDescent="0.25">
      <c r="A17" s="7" t="s">
        <v>23</v>
      </c>
      <c r="B17" s="12">
        <f>B15+B16</f>
        <v>21689.77</v>
      </c>
    </row>
    <row r="18" spans="1:2" outlineLevel="2" x14ac:dyDescent="0.25">
      <c r="A18" s="4" t="s">
        <v>24</v>
      </c>
      <c r="B18" s="10"/>
    </row>
    <row r="19" spans="1:2" outlineLevel="3" x14ac:dyDescent="0.25">
      <c r="A19" s="6" t="s">
        <v>27</v>
      </c>
      <c r="B19" s="11">
        <v>105.57</v>
      </c>
    </row>
    <row r="20" spans="1:2" outlineLevel="3" x14ac:dyDescent="0.25">
      <c r="A20" s="6" t="s">
        <v>28</v>
      </c>
      <c r="B20" s="11">
        <v>5809.77</v>
      </c>
    </row>
    <row r="21" spans="1:2" outlineLevel="3" x14ac:dyDescent="0.25">
      <c r="A21" s="6" t="s">
        <v>29</v>
      </c>
      <c r="B21" s="11">
        <v>105.58</v>
      </c>
    </row>
    <row r="22" spans="1:2" outlineLevel="2" x14ac:dyDescent="0.25">
      <c r="A22" s="7" t="s">
        <v>30</v>
      </c>
      <c r="B22" s="12">
        <f>B18+B19+B20+B21</f>
        <v>6020.92</v>
      </c>
    </row>
    <row r="23" spans="1:2" outlineLevel="1" x14ac:dyDescent="0.25">
      <c r="A23" s="5" t="s">
        <v>36</v>
      </c>
      <c r="B23" s="12">
        <f>B11+B12+B13+B14+B17+B22</f>
        <v>38927.24</v>
      </c>
    </row>
    <row r="24" spans="1:2" x14ac:dyDescent="0.25">
      <c r="A24" s="8" t="s">
        <v>37</v>
      </c>
      <c r="B24" s="12">
        <f>B10+B23</f>
        <v>45947.839999999997</v>
      </c>
    </row>
    <row r="25" spans="1:2" x14ac:dyDescent="0.25">
      <c r="A25" s="2" t="s">
        <v>38</v>
      </c>
      <c r="B25" s="10"/>
    </row>
    <row r="26" spans="1:2" x14ac:dyDescent="0.25">
      <c r="A26" s="8" t="s">
        <v>39</v>
      </c>
      <c r="B26" s="12">
        <f>B24-B25</f>
        <v>45947.839999999997</v>
      </c>
    </row>
    <row r="27" spans="1:2" x14ac:dyDescent="0.25">
      <c r="A27" s="2" t="s">
        <v>40</v>
      </c>
    </row>
    <row r="28" spans="1:2" outlineLevel="1" x14ac:dyDescent="0.25">
      <c r="A28" s="3" t="s">
        <v>41</v>
      </c>
      <c r="B28" s="10"/>
    </row>
    <row r="29" spans="1:2" outlineLevel="2" x14ac:dyDescent="0.25">
      <c r="A29" s="4" t="s">
        <v>42</v>
      </c>
      <c r="B29" s="11">
        <v>0.3</v>
      </c>
    </row>
    <row r="30" spans="1:2" outlineLevel="2" x14ac:dyDescent="0.25">
      <c r="A30" s="4" t="s">
        <v>43</v>
      </c>
      <c r="B30" s="11">
        <v>500</v>
      </c>
    </row>
    <row r="31" spans="1:2" outlineLevel="2" x14ac:dyDescent="0.25">
      <c r="A31" s="4" t="s">
        <v>46</v>
      </c>
      <c r="B31" s="11">
        <v>115</v>
      </c>
    </row>
    <row r="32" spans="1:2" outlineLevel="1" x14ac:dyDescent="0.25">
      <c r="A32" s="5" t="s">
        <v>47</v>
      </c>
      <c r="B32" s="12">
        <f>B28+B29+B30+B31</f>
        <v>615.29999999999995</v>
      </c>
    </row>
    <row r="33" spans="1:2" outlineLevel="1" x14ac:dyDescent="0.25">
      <c r="A33" s="3" t="s">
        <v>48</v>
      </c>
      <c r="B33" s="11">
        <v>867.24</v>
      </c>
    </row>
    <row r="34" spans="1:2" outlineLevel="1" x14ac:dyDescent="0.25">
      <c r="A34" s="3" t="s">
        <v>53</v>
      </c>
      <c r="B34" s="10"/>
    </row>
    <row r="35" spans="1:2" outlineLevel="2" x14ac:dyDescent="0.25">
      <c r="A35" s="4" t="s">
        <v>54</v>
      </c>
      <c r="B35" s="11">
        <v>11991.35</v>
      </c>
    </row>
    <row r="36" spans="1:2" outlineLevel="2" x14ac:dyDescent="0.25">
      <c r="A36" s="4" t="s">
        <v>55</v>
      </c>
      <c r="B36" s="11">
        <v>480.99</v>
      </c>
    </row>
    <row r="37" spans="1:2" outlineLevel="2" x14ac:dyDescent="0.25">
      <c r="A37" s="4" t="s">
        <v>56</v>
      </c>
      <c r="B37" s="11">
        <v>393</v>
      </c>
    </row>
    <row r="38" spans="1:2" outlineLevel="2" x14ac:dyDescent="0.25">
      <c r="A38" s="4" t="s">
        <v>57</v>
      </c>
      <c r="B38" s="11">
        <v>200</v>
      </c>
    </row>
    <row r="39" spans="1:2" outlineLevel="2" x14ac:dyDescent="0.25">
      <c r="A39" s="4" t="s">
        <v>58</v>
      </c>
      <c r="B39" s="11">
        <v>428.82</v>
      </c>
    </row>
    <row r="40" spans="1:2" outlineLevel="2" x14ac:dyDescent="0.25">
      <c r="A40" s="4" t="s">
        <v>59</v>
      </c>
      <c r="B40" s="11">
        <v>850.98</v>
      </c>
    </row>
    <row r="41" spans="1:2" outlineLevel="3" x14ac:dyDescent="0.25">
      <c r="A41" s="6" t="s">
        <v>60</v>
      </c>
      <c r="B41" s="11">
        <v>623.03</v>
      </c>
    </row>
    <row r="42" spans="1:2" outlineLevel="2" x14ac:dyDescent="0.25">
      <c r="A42" s="7" t="s">
        <v>61</v>
      </c>
      <c r="B42" s="12">
        <f>B40+B41</f>
        <v>1474.01</v>
      </c>
    </row>
    <row r="43" spans="1:2" outlineLevel="2" x14ac:dyDescent="0.25">
      <c r="A43" s="4" t="s">
        <v>62</v>
      </c>
      <c r="B43" s="11">
        <v>1101.99</v>
      </c>
    </row>
    <row r="44" spans="1:2" outlineLevel="2" x14ac:dyDescent="0.25">
      <c r="A44" s="4" t="s">
        <v>63</v>
      </c>
      <c r="B44" s="11">
        <v>74109.87</v>
      </c>
    </row>
    <row r="45" spans="1:2" outlineLevel="3" x14ac:dyDescent="0.25">
      <c r="A45" s="6" t="s">
        <v>64</v>
      </c>
      <c r="B45" s="11">
        <v>2371</v>
      </c>
    </row>
    <row r="46" spans="1:2" outlineLevel="2" x14ac:dyDescent="0.25">
      <c r="A46" s="7" t="s">
        <v>65</v>
      </c>
      <c r="B46" s="12">
        <f>B44+B45</f>
        <v>76480.87</v>
      </c>
    </row>
    <row r="47" spans="1:2" outlineLevel="2" x14ac:dyDescent="0.25">
      <c r="A47" s="4" t="s">
        <v>68</v>
      </c>
      <c r="B47" s="11">
        <v>3511.56</v>
      </c>
    </row>
    <row r="48" spans="1:2" outlineLevel="2" x14ac:dyDescent="0.25">
      <c r="A48" s="4" t="s">
        <v>69</v>
      </c>
      <c r="B48" s="11">
        <v>4796.04</v>
      </c>
    </row>
    <row r="49" spans="1:2" outlineLevel="2" x14ac:dyDescent="0.25">
      <c r="A49" s="4" t="s">
        <v>70</v>
      </c>
      <c r="B49" s="10"/>
    </row>
    <row r="50" spans="1:2" outlineLevel="3" x14ac:dyDescent="0.25">
      <c r="A50" s="6" t="s">
        <v>71</v>
      </c>
      <c r="B50" s="11">
        <v>3756.98</v>
      </c>
    </row>
    <row r="51" spans="1:2" outlineLevel="2" x14ac:dyDescent="0.25">
      <c r="A51" s="7" t="s">
        <v>72</v>
      </c>
      <c r="B51" s="12">
        <f>B49+B50</f>
        <v>3756.98</v>
      </c>
    </row>
    <row r="52" spans="1:2" outlineLevel="2" x14ac:dyDescent="0.25">
      <c r="A52" s="4" t="s">
        <v>73</v>
      </c>
      <c r="B52" s="11">
        <v>2261</v>
      </c>
    </row>
    <row r="53" spans="1:2" outlineLevel="1" x14ac:dyDescent="0.25">
      <c r="A53" s="5" t="s">
        <v>74</v>
      </c>
      <c r="B53" s="12">
        <f>B34+B35+B36+B37+B38+B39+B42+B43+B46+B47+B48+B51+B52</f>
        <v>106876.60999999999</v>
      </c>
    </row>
    <row r="54" spans="1:2" outlineLevel="1" x14ac:dyDescent="0.25">
      <c r="A54" s="3" t="s">
        <v>75</v>
      </c>
      <c r="B54" s="10"/>
    </row>
    <row r="55" spans="1:2" outlineLevel="2" x14ac:dyDescent="0.25">
      <c r="A55" s="4" t="s">
        <v>15</v>
      </c>
      <c r="B55" s="11">
        <v>400.75</v>
      </c>
    </row>
    <row r="56" spans="1:2" outlineLevel="2" x14ac:dyDescent="0.25">
      <c r="A56" s="4" t="s">
        <v>76</v>
      </c>
      <c r="B56" s="11">
        <v>1649.34</v>
      </c>
    </row>
    <row r="57" spans="1:2" outlineLevel="1" x14ac:dyDescent="0.25">
      <c r="A57" s="5" t="s">
        <v>77</v>
      </c>
      <c r="B57" s="12">
        <f>B54+B55+B56</f>
        <v>2050.09</v>
      </c>
    </row>
    <row r="58" spans="1:2" x14ac:dyDescent="0.25">
      <c r="A58" s="8" t="s">
        <v>78</v>
      </c>
      <c r="B58" s="12">
        <f>B32+B33+B53+B57</f>
        <v>110409.23999999998</v>
      </c>
    </row>
    <row r="59" spans="1:2" x14ac:dyDescent="0.25">
      <c r="A59" s="8" t="s">
        <v>79</v>
      </c>
      <c r="B59" s="12">
        <f>B26-B58</f>
        <v>-64461.39999999998</v>
      </c>
    </row>
    <row r="60" spans="1:2" x14ac:dyDescent="0.25">
      <c r="A60" s="2" t="s">
        <v>80</v>
      </c>
    </row>
    <row r="61" spans="1:2" outlineLevel="1" x14ac:dyDescent="0.25">
      <c r="A61" s="3" t="s">
        <v>81</v>
      </c>
      <c r="B61" s="11">
        <v>1.1399999999999999</v>
      </c>
    </row>
    <row r="62" spans="1:2" outlineLevel="1" x14ac:dyDescent="0.25">
      <c r="A62" s="3" t="s">
        <v>82</v>
      </c>
      <c r="B62" s="11">
        <v>923</v>
      </c>
    </row>
    <row r="63" spans="1:2" outlineLevel="2" x14ac:dyDescent="0.25">
      <c r="A63" s="4" t="s">
        <v>71</v>
      </c>
      <c r="B63" s="11">
        <v>2449</v>
      </c>
    </row>
    <row r="64" spans="1:2" outlineLevel="1" x14ac:dyDescent="0.25">
      <c r="A64" s="5" t="s">
        <v>83</v>
      </c>
      <c r="B64" s="12">
        <f>B62+B63</f>
        <v>3372</v>
      </c>
    </row>
    <row r="65" spans="1:2" x14ac:dyDescent="0.25">
      <c r="A65" s="8" t="s">
        <v>84</v>
      </c>
      <c r="B65" s="12">
        <f>B61+B64</f>
        <v>3373.14</v>
      </c>
    </row>
    <row r="66" spans="1:2" x14ac:dyDescent="0.25">
      <c r="A66" s="2" t="s">
        <v>85</v>
      </c>
      <c r="B66" s="10"/>
    </row>
    <row r="67" spans="1:2" x14ac:dyDescent="0.25">
      <c r="A67" s="8" t="s">
        <v>86</v>
      </c>
      <c r="B67" s="12">
        <f>B65-B66</f>
        <v>3373.14</v>
      </c>
    </row>
    <row r="68" spans="1:2" x14ac:dyDescent="0.25">
      <c r="A68" s="8" t="s">
        <v>87</v>
      </c>
      <c r="B68" s="12">
        <f>B59+B67</f>
        <v>-61088.25999999998</v>
      </c>
    </row>
    <row r="72" spans="1:2" x14ac:dyDescent="0.25">
      <c r="A72" s="33" t="s">
        <v>92</v>
      </c>
      <c r="B72" s="30"/>
    </row>
  </sheetData>
  <mergeCells count="4">
    <mergeCell ref="A1:B1"/>
    <mergeCell ref="A2:B2"/>
    <mergeCell ref="A3:B3"/>
    <mergeCell ref="A72:B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6A90-2CE1-4A44-A980-64E80C2D00AC}">
  <dimension ref="A1:AC70"/>
  <sheetViews>
    <sheetView workbookViewId="0">
      <pane xSplit="1" ySplit="5" topLeftCell="B62" activePane="bottomRight" state="frozen"/>
      <selection pane="topRight" activeCell="B1" sqref="B1"/>
      <selection pane="bottomLeft" activeCell="A6" sqref="A6"/>
      <selection pane="bottomRight" activeCell="Y69" sqref="Y69"/>
    </sheetView>
  </sheetViews>
  <sheetFormatPr defaultRowHeight="15.75" x14ac:dyDescent="0.25"/>
  <cols>
    <col min="1" max="1" width="40.25" customWidth="1"/>
    <col min="2" max="2" width="9.25" customWidth="1"/>
    <col min="3" max="3" width="10.125" customWidth="1"/>
    <col min="4" max="6" width="9.25" customWidth="1"/>
    <col min="7" max="7" width="7.75" customWidth="1"/>
    <col min="8" max="8" width="8.5" customWidth="1"/>
    <col min="9" max="14" width="9.25" customWidth="1"/>
    <col min="15" max="15" width="10.125" customWidth="1"/>
    <col min="16" max="16" width="7" customWidth="1"/>
    <col min="17" max="18" width="7.75" customWidth="1"/>
    <col min="19" max="21" width="9.25" customWidth="1"/>
    <col min="22" max="22" width="7.75" customWidth="1"/>
    <col min="23" max="24" width="9.25" customWidth="1"/>
    <col min="25" max="25" width="7.75" customWidth="1"/>
    <col min="26" max="26" width="9.25" customWidth="1"/>
    <col min="27" max="27" width="10.125" customWidth="1"/>
  </cols>
  <sheetData>
    <row r="1" spans="1:29" ht="18" x14ac:dyDescent="0.25">
      <c r="A1" s="34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9" ht="18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9" x14ac:dyDescent="0.25">
      <c r="A3" s="36" t="s">
        <v>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5" spans="1:29" ht="60.75" x14ac:dyDescent="0.25">
      <c r="A5" s="1"/>
      <c r="B5" s="13" t="s">
        <v>94</v>
      </c>
      <c r="C5" s="13" t="s">
        <v>95</v>
      </c>
      <c r="D5" s="13" t="s">
        <v>96</v>
      </c>
      <c r="E5" s="13" t="s">
        <v>97</v>
      </c>
      <c r="F5" s="13" t="s">
        <v>98</v>
      </c>
      <c r="G5" s="13" t="s">
        <v>99</v>
      </c>
      <c r="H5" s="13" t="s">
        <v>100</v>
      </c>
      <c r="I5" s="13" t="s">
        <v>101</v>
      </c>
      <c r="J5" s="13" t="s">
        <v>102</v>
      </c>
      <c r="K5" s="13" t="s">
        <v>103</v>
      </c>
      <c r="L5" s="13" t="s">
        <v>104</v>
      </c>
      <c r="M5" s="13" t="s">
        <v>105</v>
      </c>
      <c r="N5" s="13" t="s">
        <v>106</v>
      </c>
      <c r="O5" s="13" t="s">
        <v>107</v>
      </c>
      <c r="P5" s="13" t="s">
        <v>108</v>
      </c>
      <c r="Q5" s="13" t="s">
        <v>109</v>
      </c>
      <c r="R5" s="13" t="s">
        <v>110</v>
      </c>
      <c r="S5" s="13" t="s">
        <v>111</v>
      </c>
      <c r="T5" s="13" t="s">
        <v>112</v>
      </c>
      <c r="U5" s="13" t="s">
        <v>113</v>
      </c>
      <c r="V5" s="13" t="s">
        <v>114</v>
      </c>
      <c r="W5" s="13" t="s">
        <v>115</v>
      </c>
      <c r="X5" s="13" t="s">
        <v>116</v>
      </c>
      <c r="Y5" s="13" t="s">
        <v>117</v>
      </c>
      <c r="Z5" s="13" t="s">
        <v>118</v>
      </c>
      <c r="AA5" s="13" t="s">
        <v>119</v>
      </c>
    </row>
    <row r="6" spans="1:29" x14ac:dyDescent="0.25">
      <c r="A6" s="14" t="s">
        <v>120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9" x14ac:dyDescent="0.25">
      <c r="A7" s="14" t="s">
        <v>121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>
        <f t="shared" ref="R7:R25" si="0">(P7)+(Q7)</f>
        <v>0</v>
      </c>
      <c r="S7" s="19"/>
      <c r="T7" s="19"/>
      <c r="U7" s="19"/>
      <c r="V7" s="19"/>
      <c r="W7" s="20">
        <f t="shared" ref="W7:W25" si="1">(U7)+(V7)</f>
        <v>0</v>
      </c>
      <c r="X7" s="19"/>
      <c r="Y7" s="19"/>
      <c r="Z7" s="20">
        <f t="shared" ref="Z7:Z25" si="2">(X7)+(Y7)</f>
        <v>0</v>
      </c>
      <c r="AA7" s="20">
        <f t="shared" ref="AA7:AA25" si="3">((((((((((((((((((B7)+(C7))+(D7))+(E7))+(F7))+(G7))+(H7))+(I7))+(J7))+(K7))+(L7))+(M7))+(N7))+(O7))+(R7))+(S7))+(T7))+(W7))+(Z7)</f>
        <v>0</v>
      </c>
      <c r="AB7" s="21"/>
      <c r="AC7" s="21"/>
    </row>
    <row r="8" spans="1:29" x14ac:dyDescent="0.25">
      <c r="A8" s="14" t="s">
        <v>122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f>20.6</f>
        <v>20.6</v>
      </c>
      <c r="R8" s="20">
        <f t="shared" si="0"/>
        <v>20.6</v>
      </c>
      <c r="S8" s="19"/>
      <c r="T8" s="19"/>
      <c r="U8" s="19"/>
      <c r="V8" s="19"/>
      <c r="W8" s="20">
        <f t="shared" si="1"/>
        <v>0</v>
      </c>
      <c r="X8" s="19"/>
      <c r="Y8" s="19"/>
      <c r="Z8" s="20">
        <f t="shared" si="2"/>
        <v>0</v>
      </c>
      <c r="AA8" s="20">
        <f t="shared" si="3"/>
        <v>20.6</v>
      </c>
      <c r="AB8" s="21"/>
      <c r="AC8" s="21"/>
    </row>
    <row r="9" spans="1:29" x14ac:dyDescent="0.25">
      <c r="A9" s="14" t="s">
        <v>123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>
        <f>7000</f>
        <v>7000</v>
      </c>
      <c r="R9" s="20">
        <f t="shared" si="0"/>
        <v>7000</v>
      </c>
      <c r="S9" s="19"/>
      <c r="T9" s="19"/>
      <c r="U9" s="19"/>
      <c r="V9" s="19"/>
      <c r="W9" s="20">
        <f t="shared" si="1"/>
        <v>0</v>
      </c>
      <c r="X9" s="19"/>
      <c r="Y9" s="19"/>
      <c r="Z9" s="20">
        <f t="shared" si="2"/>
        <v>0</v>
      </c>
      <c r="AA9" s="20">
        <f t="shared" si="3"/>
        <v>7000</v>
      </c>
      <c r="AB9" s="21"/>
      <c r="AC9" s="21"/>
    </row>
    <row r="10" spans="1:29" x14ac:dyDescent="0.25">
      <c r="A10" s="14" t="s">
        <v>124</v>
      </c>
      <c r="B10" s="22">
        <f t="shared" ref="B10:Q10" si="4">((B7)+(B8))+(B9)</f>
        <v>0</v>
      </c>
      <c r="C10" s="22">
        <f t="shared" si="4"/>
        <v>0</v>
      </c>
      <c r="D10" s="22">
        <f t="shared" si="4"/>
        <v>0</v>
      </c>
      <c r="E10" s="22">
        <f t="shared" si="4"/>
        <v>0</v>
      </c>
      <c r="F10" s="22">
        <f t="shared" si="4"/>
        <v>0</v>
      </c>
      <c r="G10" s="22">
        <f t="shared" si="4"/>
        <v>0</v>
      </c>
      <c r="H10" s="22">
        <f t="shared" si="4"/>
        <v>0</v>
      </c>
      <c r="I10" s="22">
        <f t="shared" si="4"/>
        <v>0</v>
      </c>
      <c r="J10" s="22">
        <f t="shared" si="4"/>
        <v>0</v>
      </c>
      <c r="K10" s="22">
        <f t="shared" si="4"/>
        <v>0</v>
      </c>
      <c r="L10" s="22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7020.6</v>
      </c>
      <c r="R10" s="22">
        <f t="shared" si="0"/>
        <v>7020.6</v>
      </c>
      <c r="S10" s="22">
        <f>((S7)+(S8))+(S9)</f>
        <v>0</v>
      </c>
      <c r="T10" s="22">
        <f>((T7)+(T8))+(T9)</f>
        <v>0</v>
      </c>
      <c r="U10" s="22">
        <f>((U7)+(U8))+(U9)</f>
        <v>0</v>
      </c>
      <c r="V10" s="22">
        <f>((V7)+(V8))+(V9)</f>
        <v>0</v>
      </c>
      <c r="W10" s="22">
        <f t="shared" si="1"/>
        <v>0</v>
      </c>
      <c r="X10" s="22">
        <f>((X7)+(X8))+(X9)</f>
        <v>0</v>
      </c>
      <c r="Y10" s="22">
        <f>((Y7)+(Y8))+(Y9)</f>
        <v>0</v>
      </c>
      <c r="Z10" s="22">
        <f t="shared" si="2"/>
        <v>0</v>
      </c>
      <c r="AA10" s="22">
        <f t="shared" si="3"/>
        <v>7020.6</v>
      </c>
      <c r="AB10" s="21"/>
      <c r="AC10" s="21"/>
    </row>
    <row r="11" spans="1:29" x14ac:dyDescent="0.25">
      <c r="A11" s="14" t="s">
        <v>125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>
        <f t="shared" si="0"/>
        <v>0</v>
      </c>
      <c r="S11" s="19"/>
      <c r="T11" s="19"/>
      <c r="U11" s="19"/>
      <c r="V11" s="19"/>
      <c r="W11" s="20">
        <f t="shared" si="1"/>
        <v>0</v>
      </c>
      <c r="X11" s="19"/>
      <c r="Y11" s="19"/>
      <c r="Z11" s="20">
        <f t="shared" si="2"/>
        <v>0</v>
      </c>
      <c r="AA11" s="20">
        <f t="shared" si="3"/>
        <v>0</v>
      </c>
      <c r="AB11" s="21"/>
      <c r="AC11" s="21"/>
    </row>
    <row r="12" spans="1:29" x14ac:dyDescent="0.25">
      <c r="A12" s="14" t="s">
        <v>126</v>
      </c>
      <c r="B12" s="19"/>
      <c r="C12" s="19"/>
      <c r="D12" s="19"/>
      <c r="E12" s="20">
        <f>178</f>
        <v>178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si="0"/>
        <v>0</v>
      </c>
      <c r="S12" s="19"/>
      <c r="T12" s="19"/>
      <c r="U12" s="19"/>
      <c r="V12" s="19"/>
      <c r="W12" s="20">
        <f t="shared" si="1"/>
        <v>0</v>
      </c>
      <c r="X12" s="19"/>
      <c r="Y12" s="19"/>
      <c r="Z12" s="20">
        <f t="shared" si="2"/>
        <v>0</v>
      </c>
      <c r="AA12" s="20">
        <f t="shared" si="3"/>
        <v>178</v>
      </c>
      <c r="AB12" s="21"/>
      <c r="AC12" s="21"/>
    </row>
    <row r="13" spans="1:29" x14ac:dyDescent="0.25">
      <c r="A13" s="14" t="s">
        <v>127</v>
      </c>
      <c r="B13" s="19"/>
      <c r="C13" s="19"/>
      <c r="D13" s="19"/>
      <c r="E13" s="20">
        <f>2430</f>
        <v>2430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si="0"/>
        <v>0</v>
      </c>
      <c r="S13" s="19"/>
      <c r="T13" s="19"/>
      <c r="U13" s="19"/>
      <c r="V13" s="19"/>
      <c r="W13" s="20">
        <f t="shared" si="1"/>
        <v>0</v>
      </c>
      <c r="X13" s="19"/>
      <c r="Y13" s="19"/>
      <c r="Z13" s="20">
        <f t="shared" si="2"/>
        <v>0</v>
      </c>
      <c r="AA13" s="20">
        <f t="shared" si="3"/>
        <v>2430</v>
      </c>
      <c r="AB13" s="21"/>
      <c r="AC13" s="21"/>
    </row>
    <row r="14" spans="1:29" x14ac:dyDescent="0.25">
      <c r="A14" s="14" t="s">
        <v>128</v>
      </c>
      <c r="B14" s="19"/>
      <c r="C14" s="19"/>
      <c r="D14" s="19"/>
      <c r="E14" s="19"/>
      <c r="F14" s="19"/>
      <c r="G14" s="19"/>
      <c r="H14" s="20">
        <f>3400</f>
        <v>3400</v>
      </c>
      <c r="I14" s="19"/>
      <c r="J14" s="19"/>
      <c r="K14" s="19"/>
      <c r="L14" s="19"/>
      <c r="M14" s="19"/>
      <c r="N14" s="20">
        <f>2150.8</f>
        <v>2150.8000000000002</v>
      </c>
      <c r="O14" s="19"/>
      <c r="P14" s="19"/>
      <c r="Q14" s="19"/>
      <c r="R14" s="20">
        <f t="shared" si="0"/>
        <v>0</v>
      </c>
      <c r="S14" s="19"/>
      <c r="T14" s="20">
        <f>145.35</f>
        <v>145.35</v>
      </c>
      <c r="U14" s="20">
        <f>485.4</f>
        <v>485.4</v>
      </c>
      <c r="V14" s="19"/>
      <c r="W14" s="20">
        <f t="shared" si="1"/>
        <v>485.4</v>
      </c>
      <c r="X14" s="20">
        <f>2427</f>
        <v>2427</v>
      </c>
      <c r="Y14" s="19"/>
      <c r="Z14" s="20">
        <f t="shared" si="2"/>
        <v>2427</v>
      </c>
      <c r="AA14" s="20">
        <f t="shared" si="3"/>
        <v>8608.5499999999993</v>
      </c>
      <c r="AB14" s="21"/>
      <c r="AC14" s="21"/>
    </row>
    <row r="15" spans="1:29" x14ac:dyDescent="0.25">
      <c r="A15" s="14" t="s">
        <v>129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si="0"/>
        <v>0</v>
      </c>
      <c r="S15" s="19"/>
      <c r="T15" s="19"/>
      <c r="U15" s="19"/>
      <c r="V15" s="19"/>
      <c r="W15" s="20">
        <f t="shared" si="1"/>
        <v>0</v>
      </c>
      <c r="X15" s="19"/>
      <c r="Y15" s="19"/>
      <c r="Z15" s="20">
        <f t="shared" si="2"/>
        <v>0</v>
      </c>
      <c r="AA15" s="20">
        <f t="shared" si="3"/>
        <v>0</v>
      </c>
      <c r="AB15" s="21"/>
      <c r="AC15" s="21"/>
    </row>
    <row r="16" spans="1:29" x14ac:dyDescent="0.25">
      <c r="A16" s="14" t="s">
        <v>130</v>
      </c>
      <c r="B16" s="19"/>
      <c r="C16" s="19"/>
      <c r="D16" s="19"/>
      <c r="E16" s="19"/>
      <c r="F16" s="19"/>
      <c r="G16" s="19"/>
      <c r="H16" s="20">
        <f>21689.77</f>
        <v>21689.77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si="0"/>
        <v>0</v>
      </c>
      <c r="S16" s="19"/>
      <c r="T16" s="19"/>
      <c r="U16" s="19"/>
      <c r="V16" s="19"/>
      <c r="W16" s="20">
        <f t="shared" si="1"/>
        <v>0</v>
      </c>
      <c r="X16" s="19"/>
      <c r="Y16" s="19"/>
      <c r="Z16" s="20">
        <f t="shared" si="2"/>
        <v>0</v>
      </c>
      <c r="AA16" s="20">
        <f t="shared" si="3"/>
        <v>21689.77</v>
      </c>
      <c r="AB16" s="21"/>
      <c r="AC16" s="21"/>
    </row>
    <row r="17" spans="1:29" x14ac:dyDescent="0.25">
      <c r="A17" s="14" t="s">
        <v>131</v>
      </c>
      <c r="B17" s="22">
        <f t="shared" ref="B17:Q17" si="5">(B15)+(B16)</f>
        <v>0</v>
      </c>
      <c r="C17" s="22">
        <f t="shared" si="5"/>
        <v>0</v>
      </c>
      <c r="D17" s="22">
        <f t="shared" si="5"/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21689.77</v>
      </c>
      <c r="I17" s="22">
        <f t="shared" si="5"/>
        <v>0</v>
      </c>
      <c r="J17" s="22">
        <f t="shared" si="5"/>
        <v>0</v>
      </c>
      <c r="K17" s="22">
        <f t="shared" si="5"/>
        <v>0</v>
      </c>
      <c r="L17" s="22">
        <f t="shared" si="5"/>
        <v>0</v>
      </c>
      <c r="M17" s="22">
        <f t="shared" si="5"/>
        <v>0</v>
      </c>
      <c r="N17" s="22">
        <f t="shared" si="5"/>
        <v>0</v>
      </c>
      <c r="O17" s="22">
        <f t="shared" si="5"/>
        <v>0</v>
      </c>
      <c r="P17" s="22">
        <f t="shared" si="5"/>
        <v>0</v>
      </c>
      <c r="Q17" s="22">
        <f t="shared" si="5"/>
        <v>0</v>
      </c>
      <c r="R17" s="22">
        <f t="shared" si="0"/>
        <v>0</v>
      </c>
      <c r="S17" s="22">
        <f>(S15)+(S16)</f>
        <v>0</v>
      </c>
      <c r="T17" s="22">
        <f>(T15)+(T16)</f>
        <v>0</v>
      </c>
      <c r="U17" s="22">
        <f>(U15)+(U16)</f>
        <v>0</v>
      </c>
      <c r="V17" s="22">
        <f>(V15)+(V16)</f>
        <v>0</v>
      </c>
      <c r="W17" s="22">
        <f t="shared" si="1"/>
        <v>0</v>
      </c>
      <c r="X17" s="22">
        <f>(X15)+(X16)</f>
        <v>0</v>
      </c>
      <c r="Y17" s="22">
        <f>(Y15)+(Y16)</f>
        <v>0</v>
      </c>
      <c r="Z17" s="22">
        <f t="shared" si="2"/>
        <v>0</v>
      </c>
      <c r="AA17" s="22">
        <f t="shared" si="3"/>
        <v>21689.77</v>
      </c>
      <c r="AB17" s="21"/>
      <c r="AC17" s="21"/>
    </row>
    <row r="18" spans="1:29" x14ac:dyDescent="0.25">
      <c r="A18" s="14" t="s">
        <v>132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si="0"/>
        <v>0</v>
      </c>
      <c r="S18" s="19"/>
      <c r="T18" s="19"/>
      <c r="U18" s="19"/>
      <c r="V18" s="19"/>
      <c r="W18" s="20">
        <f t="shared" si="1"/>
        <v>0</v>
      </c>
      <c r="X18" s="19"/>
      <c r="Y18" s="19"/>
      <c r="Z18" s="20">
        <f t="shared" si="2"/>
        <v>0</v>
      </c>
      <c r="AA18" s="20">
        <f t="shared" si="3"/>
        <v>0</v>
      </c>
      <c r="AB18" s="21"/>
      <c r="AC18" s="21"/>
    </row>
    <row r="19" spans="1:29" x14ac:dyDescent="0.25">
      <c r="A19" s="14" t="s">
        <v>133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>
        <f t="shared" si="0"/>
        <v>0</v>
      </c>
      <c r="S19" s="19"/>
      <c r="T19" s="19"/>
      <c r="U19" s="19"/>
      <c r="V19" s="19"/>
      <c r="W19" s="20">
        <f t="shared" si="1"/>
        <v>0</v>
      </c>
      <c r="X19" s="20">
        <f>105.57</f>
        <v>105.57</v>
      </c>
      <c r="Y19" s="19"/>
      <c r="Z19" s="20">
        <f t="shared" si="2"/>
        <v>105.57</v>
      </c>
      <c r="AA19" s="20">
        <f t="shared" si="3"/>
        <v>105.57</v>
      </c>
      <c r="AB19" s="21"/>
      <c r="AC19" s="21"/>
    </row>
    <row r="20" spans="1:29" x14ac:dyDescent="0.25">
      <c r="A20" s="14" t="s">
        <v>134</v>
      </c>
      <c r="B20" s="19"/>
      <c r="C20" s="19"/>
      <c r="D20" s="19"/>
      <c r="E20" s="19"/>
      <c r="F20" s="19"/>
      <c r="G20" s="19"/>
      <c r="H20" s="20">
        <f>5809.77</f>
        <v>5809.77</v>
      </c>
      <c r="I20" s="19"/>
      <c r="J20" s="19"/>
      <c r="K20" s="19"/>
      <c r="L20" s="19"/>
      <c r="M20" s="19"/>
      <c r="N20" s="19"/>
      <c r="O20" s="19"/>
      <c r="P20" s="19"/>
      <c r="Q20" s="19"/>
      <c r="R20" s="20">
        <f t="shared" si="0"/>
        <v>0</v>
      </c>
      <c r="S20" s="19"/>
      <c r="T20" s="19"/>
      <c r="U20" s="19"/>
      <c r="V20" s="19"/>
      <c r="W20" s="20">
        <f t="shared" si="1"/>
        <v>0</v>
      </c>
      <c r="X20" s="19"/>
      <c r="Y20" s="19"/>
      <c r="Z20" s="20">
        <f t="shared" si="2"/>
        <v>0</v>
      </c>
      <c r="AA20" s="20">
        <f t="shared" si="3"/>
        <v>5809.77</v>
      </c>
      <c r="AB20" s="21"/>
      <c r="AC20" s="21"/>
    </row>
    <row r="21" spans="1:29" x14ac:dyDescent="0.25">
      <c r="A21" s="14" t="s">
        <v>135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>
        <f t="shared" si="0"/>
        <v>0</v>
      </c>
      <c r="S21" s="19"/>
      <c r="T21" s="19"/>
      <c r="U21" s="20">
        <f>105.58</f>
        <v>105.58</v>
      </c>
      <c r="V21" s="19"/>
      <c r="W21" s="20">
        <f t="shared" si="1"/>
        <v>105.58</v>
      </c>
      <c r="X21" s="19"/>
      <c r="Y21" s="19"/>
      <c r="Z21" s="20">
        <f t="shared" si="2"/>
        <v>0</v>
      </c>
      <c r="AA21" s="20">
        <f t="shared" si="3"/>
        <v>105.58</v>
      </c>
      <c r="AB21" s="21"/>
      <c r="AC21" s="21"/>
    </row>
    <row r="22" spans="1:29" x14ac:dyDescent="0.25">
      <c r="A22" s="14" t="s">
        <v>136</v>
      </c>
      <c r="B22" s="22">
        <f t="shared" ref="B22:Q22" si="6">(((B18)+(B19))+(B20))+(B21)</f>
        <v>0</v>
      </c>
      <c r="C22" s="22">
        <f t="shared" si="6"/>
        <v>0</v>
      </c>
      <c r="D22" s="22">
        <f t="shared" si="6"/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5809.77</v>
      </c>
      <c r="I22" s="22">
        <f t="shared" si="6"/>
        <v>0</v>
      </c>
      <c r="J22" s="22">
        <f t="shared" si="6"/>
        <v>0</v>
      </c>
      <c r="K22" s="22">
        <f t="shared" si="6"/>
        <v>0</v>
      </c>
      <c r="L22" s="22">
        <f t="shared" si="6"/>
        <v>0</v>
      </c>
      <c r="M22" s="22">
        <f t="shared" si="6"/>
        <v>0</v>
      </c>
      <c r="N22" s="22">
        <f t="shared" si="6"/>
        <v>0</v>
      </c>
      <c r="O22" s="22">
        <f t="shared" si="6"/>
        <v>0</v>
      </c>
      <c r="P22" s="22">
        <f t="shared" si="6"/>
        <v>0</v>
      </c>
      <c r="Q22" s="22">
        <f t="shared" si="6"/>
        <v>0</v>
      </c>
      <c r="R22" s="22">
        <f t="shared" si="0"/>
        <v>0</v>
      </c>
      <c r="S22" s="22">
        <f>(((S18)+(S19))+(S20))+(S21)</f>
        <v>0</v>
      </c>
      <c r="T22" s="22">
        <f>(((T18)+(T19))+(T20))+(T21)</f>
        <v>0</v>
      </c>
      <c r="U22" s="22">
        <f>(((U18)+(U19))+(U20))+(U21)</f>
        <v>105.58</v>
      </c>
      <c r="V22" s="22">
        <f>(((V18)+(V19))+(V20))+(V21)</f>
        <v>0</v>
      </c>
      <c r="W22" s="22">
        <f t="shared" si="1"/>
        <v>105.58</v>
      </c>
      <c r="X22" s="22">
        <f>(((X18)+(X19))+(X20))+(X21)</f>
        <v>105.57</v>
      </c>
      <c r="Y22" s="22">
        <f>(((Y18)+(Y19))+(Y20))+(Y21)</f>
        <v>0</v>
      </c>
      <c r="Z22" s="22">
        <f t="shared" si="2"/>
        <v>105.57</v>
      </c>
      <c r="AA22" s="22">
        <f t="shared" si="3"/>
        <v>6020.92</v>
      </c>
      <c r="AB22" s="21"/>
      <c r="AC22" s="21"/>
    </row>
    <row r="23" spans="1:29" x14ac:dyDescent="0.25">
      <c r="A23" s="14" t="s">
        <v>137</v>
      </c>
      <c r="B23" s="22">
        <f t="shared" ref="B23:Q23" si="7">(((((B11)+(B12))+(B13))+(B14))+(B17))+(B22)</f>
        <v>0</v>
      </c>
      <c r="C23" s="22">
        <f t="shared" si="7"/>
        <v>0</v>
      </c>
      <c r="D23" s="22">
        <f t="shared" si="7"/>
        <v>0</v>
      </c>
      <c r="E23" s="22">
        <f t="shared" si="7"/>
        <v>2608</v>
      </c>
      <c r="F23" s="22">
        <f t="shared" si="7"/>
        <v>0</v>
      </c>
      <c r="G23" s="22">
        <f t="shared" si="7"/>
        <v>0</v>
      </c>
      <c r="H23" s="22">
        <f t="shared" si="7"/>
        <v>30899.54</v>
      </c>
      <c r="I23" s="22">
        <f t="shared" si="7"/>
        <v>0</v>
      </c>
      <c r="J23" s="22">
        <f t="shared" si="7"/>
        <v>0</v>
      </c>
      <c r="K23" s="22">
        <f t="shared" si="7"/>
        <v>0</v>
      </c>
      <c r="L23" s="22">
        <f t="shared" si="7"/>
        <v>0</v>
      </c>
      <c r="M23" s="22">
        <f t="shared" si="7"/>
        <v>0</v>
      </c>
      <c r="N23" s="22">
        <f t="shared" si="7"/>
        <v>2150.8000000000002</v>
      </c>
      <c r="O23" s="22">
        <f t="shared" si="7"/>
        <v>0</v>
      </c>
      <c r="P23" s="22">
        <f t="shared" si="7"/>
        <v>0</v>
      </c>
      <c r="Q23" s="22">
        <f t="shared" si="7"/>
        <v>0</v>
      </c>
      <c r="R23" s="22">
        <f t="shared" si="0"/>
        <v>0</v>
      </c>
      <c r="S23" s="22">
        <f>(((((S11)+(S12))+(S13))+(S14))+(S17))+(S22)</f>
        <v>0</v>
      </c>
      <c r="T23" s="22">
        <f>(((((T11)+(T12))+(T13))+(T14))+(T17))+(T22)</f>
        <v>145.35</v>
      </c>
      <c r="U23" s="22">
        <f>(((((U11)+(U12))+(U13))+(U14))+(U17))+(U22)</f>
        <v>590.98</v>
      </c>
      <c r="V23" s="22">
        <f>(((((V11)+(V12))+(V13))+(V14))+(V17))+(V22)</f>
        <v>0</v>
      </c>
      <c r="W23" s="22">
        <f t="shared" si="1"/>
        <v>590.98</v>
      </c>
      <c r="X23" s="22">
        <f>(((((X11)+(X12))+(X13))+(X14))+(X17))+(X22)</f>
        <v>2532.5700000000002</v>
      </c>
      <c r="Y23" s="22">
        <f>(((((Y11)+(Y12))+(Y13))+(Y14))+(Y17))+(Y22)</f>
        <v>0</v>
      </c>
      <c r="Z23" s="22">
        <f t="shared" si="2"/>
        <v>2532.5700000000002</v>
      </c>
      <c r="AA23" s="22">
        <f t="shared" si="3"/>
        <v>38927.240000000005</v>
      </c>
      <c r="AB23" s="21"/>
      <c r="AC23" s="21"/>
    </row>
    <row r="24" spans="1:29" x14ac:dyDescent="0.25">
      <c r="A24" s="14" t="s">
        <v>138</v>
      </c>
      <c r="B24" s="22">
        <f t="shared" ref="B24:Q24" si="8">(B10)+(B23)</f>
        <v>0</v>
      </c>
      <c r="C24" s="22">
        <f t="shared" si="8"/>
        <v>0</v>
      </c>
      <c r="D24" s="22">
        <f t="shared" si="8"/>
        <v>0</v>
      </c>
      <c r="E24" s="22">
        <f t="shared" si="8"/>
        <v>2608</v>
      </c>
      <c r="F24" s="22">
        <f t="shared" si="8"/>
        <v>0</v>
      </c>
      <c r="G24" s="22">
        <f t="shared" si="8"/>
        <v>0</v>
      </c>
      <c r="H24" s="22">
        <f t="shared" si="8"/>
        <v>30899.54</v>
      </c>
      <c r="I24" s="22">
        <f t="shared" si="8"/>
        <v>0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0</v>
      </c>
      <c r="N24" s="22">
        <f t="shared" si="8"/>
        <v>2150.8000000000002</v>
      </c>
      <c r="O24" s="22">
        <f t="shared" si="8"/>
        <v>0</v>
      </c>
      <c r="P24" s="22">
        <f t="shared" si="8"/>
        <v>0</v>
      </c>
      <c r="Q24" s="22">
        <f t="shared" si="8"/>
        <v>7020.6</v>
      </c>
      <c r="R24" s="22">
        <f t="shared" si="0"/>
        <v>7020.6</v>
      </c>
      <c r="S24" s="22">
        <f>(S10)+(S23)</f>
        <v>0</v>
      </c>
      <c r="T24" s="22">
        <f>(T10)+(T23)</f>
        <v>145.35</v>
      </c>
      <c r="U24" s="22">
        <f>(U10)+(U23)</f>
        <v>590.98</v>
      </c>
      <c r="V24" s="22">
        <f>(V10)+(V23)</f>
        <v>0</v>
      </c>
      <c r="W24" s="22">
        <f t="shared" si="1"/>
        <v>590.98</v>
      </c>
      <c r="X24" s="22">
        <f>(X10)+(X23)</f>
        <v>2532.5700000000002</v>
      </c>
      <c r="Y24" s="22">
        <f>(Y10)+(Y23)</f>
        <v>0</v>
      </c>
      <c r="Z24" s="22">
        <f t="shared" si="2"/>
        <v>2532.5700000000002</v>
      </c>
      <c r="AA24" s="22">
        <f t="shared" si="3"/>
        <v>45947.840000000004</v>
      </c>
      <c r="AB24" s="21"/>
      <c r="AC24" s="21"/>
    </row>
    <row r="25" spans="1:29" x14ac:dyDescent="0.25">
      <c r="A25" s="14" t="s">
        <v>39</v>
      </c>
      <c r="B25" s="22">
        <f t="shared" ref="B25:Q25" si="9">(B24)-(0)</f>
        <v>0</v>
      </c>
      <c r="C25" s="22">
        <f t="shared" si="9"/>
        <v>0</v>
      </c>
      <c r="D25" s="22">
        <f t="shared" si="9"/>
        <v>0</v>
      </c>
      <c r="E25" s="22">
        <f t="shared" si="9"/>
        <v>2608</v>
      </c>
      <c r="F25" s="22">
        <f t="shared" si="9"/>
        <v>0</v>
      </c>
      <c r="G25" s="22">
        <f t="shared" si="9"/>
        <v>0</v>
      </c>
      <c r="H25" s="22">
        <f t="shared" si="9"/>
        <v>30899.54</v>
      </c>
      <c r="I25" s="22">
        <f t="shared" si="9"/>
        <v>0</v>
      </c>
      <c r="J25" s="22">
        <f t="shared" si="9"/>
        <v>0</v>
      </c>
      <c r="K25" s="22">
        <f t="shared" si="9"/>
        <v>0</v>
      </c>
      <c r="L25" s="22">
        <f t="shared" si="9"/>
        <v>0</v>
      </c>
      <c r="M25" s="22">
        <f t="shared" si="9"/>
        <v>0</v>
      </c>
      <c r="N25" s="22">
        <f t="shared" si="9"/>
        <v>2150.8000000000002</v>
      </c>
      <c r="O25" s="22">
        <f t="shared" si="9"/>
        <v>0</v>
      </c>
      <c r="P25" s="22">
        <f t="shared" si="9"/>
        <v>0</v>
      </c>
      <c r="Q25" s="22">
        <f t="shared" si="9"/>
        <v>7020.6</v>
      </c>
      <c r="R25" s="22">
        <f t="shared" si="0"/>
        <v>7020.6</v>
      </c>
      <c r="S25" s="22">
        <f>(S24)-(0)</f>
        <v>0</v>
      </c>
      <c r="T25" s="22">
        <f>(T24)-(0)</f>
        <v>145.35</v>
      </c>
      <c r="U25" s="22">
        <f>(U24)-(0)</f>
        <v>590.98</v>
      </c>
      <c r="V25" s="22">
        <f>(V24)-(0)</f>
        <v>0</v>
      </c>
      <c r="W25" s="22">
        <f t="shared" si="1"/>
        <v>590.98</v>
      </c>
      <c r="X25" s="22">
        <f>(X24)-(0)</f>
        <v>2532.5700000000002</v>
      </c>
      <c r="Y25" s="22">
        <f>(Y24)-(0)</f>
        <v>0</v>
      </c>
      <c r="Z25" s="22">
        <f t="shared" si="2"/>
        <v>2532.5700000000002</v>
      </c>
      <c r="AA25" s="22">
        <f t="shared" si="3"/>
        <v>45947.840000000004</v>
      </c>
      <c r="AB25" s="21"/>
      <c r="AC25" s="21"/>
    </row>
    <row r="26" spans="1:29" x14ac:dyDescent="0.25">
      <c r="A26" s="14" t="s">
        <v>139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1"/>
      <c r="AC26" s="21"/>
    </row>
    <row r="27" spans="1:29" x14ac:dyDescent="0.25">
      <c r="A27" s="14" t="s">
        <v>140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>
        <f t="shared" ref="R27:R58" si="10">(P27)+(Q27)</f>
        <v>0</v>
      </c>
      <c r="S27" s="19"/>
      <c r="T27" s="19"/>
      <c r="U27" s="19"/>
      <c r="V27" s="19"/>
      <c r="W27" s="20">
        <f t="shared" ref="W27:W58" si="11">(U27)+(V27)</f>
        <v>0</v>
      </c>
      <c r="X27" s="19"/>
      <c r="Y27" s="19"/>
      <c r="Z27" s="20">
        <f t="shared" ref="Z27:Z58" si="12">(X27)+(Y27)</f>
        <v>0</v>
      </c>
      <c r="AA27" s="20">
        <f t="shared" ref="AA27:AA58" si="13">((((((((((((((((((B27)+(C27))+(D27))+(E27))+(F27))+(G27))+(H27))+(I27))+(J27))+(K27))+(L27))+(M27))+(N27))+(O27))+(R27))+(S27))+(T27))+(W27))+(Z27)</f>
        <v>0</v>
      </c>
      <c r="AB27" s="21"/>
      <c r="AC27" s="21"/>
    </row>
    <row r="28" spans="1:29" x14ac:dyDescent="0.25">
      <c r="A28" s="14" t="s">
        <v>141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>
        <f>0.3</f>
        <v>0.3</v>
      </c>
      <c r="R28" s="20">
        <f t="shared" si="10"/>
        <v>0.3</v>
      </c>
      <c r="S28" s="19"/>
      <c r="T28" s="19"/>
      <c r="U28" s="19"/>
      <c r="V28" s="19"/>
      <c r="W28" s="20">
        <f t="shared" si="11"/>
        <v>0</v>
      </c>
      <c r="X28" s="19"/>
      <c r="Y28" s="19"/>
      <c r="Z28" s="20">
        <f t="shared" si="12"/>
        <v>0</v>
      </c>
      <c r="AA28" s="20">
        <f t="shared" si="13"/>
        <v>0.3</v>
      </c>
      <c r="AB28" s="21"/>
      <c r="AC28" s="21"/>
    </row>
    <row r="29" spans="1:29" x14ac:dyDescent="0.25">
      <c r="A29" s="14" t="s">
        <v>142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>
        <f>500</f>
        <v>500</v>
      </c>
      <c r="R29" s="20">
        <f t="shared" si="10"/>
        <v>500</v>
      </c>
      <c r="S29" s="19"/>
      <c r="T29" s="19"/>
      <c r="U29" s="19"/>
      <c r="V29" s="19"/>
      <c r="W29" s="20">
        <f t="shared" si="11"/>
        <v>0</v>
      </c>
      <c r="X29" s="19"/>
      <c r="Y29" s="19"/>
      <c r="Z29" s="20">
        <f t="shared" si="12"/>
        <v>0</v>
      </c>
      <c r="AA29" s="20">
        <f t="shared" si="13"/>
        <v>500</v>
      </c>
      <c r="AB29" s="21"/>
      <c r="AC29" s="21"/>
    </row>
    <row r="30" spans="1:29" x14ac:dyDescent="0.25">
      <c r="A30" s="14" t="s">
        <v>143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>
        <f>115</f>
        <v>115</v>
      </c>
      <c r="R30" s="20">
        <f t="shared" si="10"/>
        <v>115</v>
      </c>
      <c r="S30" s="19"/>
      <c r="T30" s="19"/>
      <c r="U30" s="19"/>
      <c r="V30" s="19"/>
      <c r="W30" s="20">
        <f t="shared" si="11"/>
        <v>0</v>
      </c>
      <c r="X30" s="19"/>
      <c r="Y30" s="19"/>
      <c r="Z30" s="20">
        <f t="shared" si="12"/>
        <v>0</v>
      </c>
      <c r="AA30" s="20">
        <f t="shared" si="13"/>
        <v>115</v>
      </c>
      <c r="AB30" s="21"/>
      <c r="AC30" s="21"/>
    </row>
    <row r="31" spans="1:29" x14ac:dyDescent="0.25">
      <c r="A31" s="14" t="s">
        <v>144</v>
      </c>
      <c r="B31" s="22">
        <f t="shared" ref="B31:Q31" si="14">(((B27)+(B28))+(B29))+(B30)</f>
        <v>0</v>
      </c>
      <c r="C31" s="22">
        <f t="shared" si="14"/>
        <v>0</v>
      </c>
      <c r="D31" s="22">
        <f t="shared" si="14"/>
        <v>0</v>
      </c>
      <c r="E31" s="22">
        <f t="shared" si="14"/>
        <v>0</v>
      </c>
      <c r="F31" s="22">
        <f t="shared" si="14"/>
        <v>0</v>
      </c>
      <c r="G31" s="22">
        <f t="shared" si="14"/>
        <v>0</v>
      </c>
      <c r="H31" s="22">
        <f t="shared" si="14"/>
        <v>0</v>
      </c>
      <c r="I31" s="22">
        <f t="shared" si="14"/>
        <v>0</v>
      </c>
      <c r="J31" s="22">
        <f t="shared" si="14"/>
        <v>0</v>
      </c>
      <c r="K31" s="22">
        <f t="shared" si="14"/>
        <v>0</v>
      </c>
      <c r="L31" s="22">
        <f t="shared" si="14"/>
        <v>0</v>
      </c>
      <c r="M31" s="22">
        <f t="shared" si="14"/>
        <v>0</v>
      </c>
      <c r="N31" s="22">
        <f t="shared" si="14"/>
        <v>0</v>
      </c>
      <c r="O31" s="22">
        <f t="shared" si="14"/>
        <v>0</v>
      </c>
      <c r="P31" s="22">
        <f t="shared" si="14"/>
        <v>0</v>
      </c>
      <c r="Q31" s="22">
        <f t="shared" si="14"/>
        <v>615.29999999999995</v>
      </c>
      <c r="R31" s="22">
        <f t="shared" si="10"/>
        <v>615.29999999999995</v>
      </c>
      <c r="S31" s="22">
        <f>(((S27)+(S28))+(S29))+(S30)</f>
        <v>0</v>
      </c>
      <c r="T31" s="22">
        <f>(((T27)+(T28))+(T29))+(T30)</f>
        <v>0</v>
      </c>
      <c r="U31" s="22">
        <f>(((U27)+(U28))+(U29))+(U30)</f>
        <v>0</v>
      </c>
      <c r="V31" s="22">
        <f>(((V27)+(V28))+(V29))+(V30)</f>
        <v>0</v>
      </c>
      <c r="W31" s="22">
        <f t="shared" si="11"/>
        <v>0</v>
      </c>
      <c r="X31" s="22">
        <f>(((X27)+(X28))+(X29))+(X30)</f>
        <v>0</v>
      </c>
      <c r="Y31" s="22">
        <f>(((Y27)+(Y28))+(Y29))+(Y30)</f>
        <v>0</v>
      </c>
      <c r="Z31" s="22">
        <f t="shared" si="12"/>
        <v>0</v>
      </c>
      <c r="AA31" s="22">
        <f t="shared" si="13"/>
        <v>615.29999999999995</v>
      </c>
      <c r="AB31" s="21"/>
      <c r="AC31" s="21"/>
    </row>
    <row r="32" spans="1:29" x14ac:dyDescent="0.25">
      <c r="A32" s="14" t="s">
        <v>145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>
        <f t="shared" si="10"/>
        <v>0</v>
      </c>
      <c r="S32" s="19"/>
      <c r="T32" s="19"/>
      <c r="U32" s="19"/>
      <c r="V32" s="20">
        <f>433.62</f>
        <v>433.62</v>
      </c>
      <c r="W32" s="20">
        <f t="shared" si="11"/>
        <v>433.62</v>
      </c>
      <c r="X32" s="19"/>
      <c r="Y32" s="20">
        <f>433.62</f>
        <v>433.62</v>
      </c>
      <c r="Z32" s="20">
        <f t="shared" si="12"/>
        <v>433.62</v>
      </c>
      <c r="AA32" s="20">
        <f t="shared" si="13"/>
        <v>867.24</v>
      </c>
      <c r="AB32" s="21"/>
      <c r="AC32" s="21"/>
    </row>
    <row r="33" spans="1:29" x14ac:dyDescent="0.25">
      <c r="A33" s="14" t="s">
        <v>146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>
        <f t="shared" si="10"/>
        <v>0</v>
      </c>
      <c r="S33" s="19"/>
      <c r="T33" s="19"/>
      <c r="U33" s="19"/>
      <c r="V33" s="19"/>
      <c r="W33" s="20">
        <f t="shared" si="11"/>
        <v>0</v>
      </c>
      <c r="X33" s="19"/>
      <c r="Y33" s="19"/>
      <c r="Z33" s="20">
        <f t="shared" si="12"/>
        <v>0</v>
      </c>
      <c r="AA33" s="20">
        <f t="shared" si="13"/>
        <v>0</v>
      </c>
      <c r="AB33" s="21"/>
      <c r="AC33" s="21"/>
    </row>
    <row r="34" spans="1:29" x14ac:dyDescent="0.25">
      <c r="A34" s="14" t="s">
        <v>147</v>
      </c>
      <c r="B34" s="19"/>
      <c r="C34" s="19"/>
      <c r="D34" s="19"/>
      <c r="E34" s="20">
        <f>1020.58</f>
        <v>1020.58</v>
      </c>
      <c r="F34" s="19"/>
      <c r="G34" s="19"/>
      <c r="H34" s="20">
        <f>10970.77</f>
        <v>10970.77</v>
      </c>
      <c r="I34" s="19"/>
      <c r="J34" s="19"/>
      <c r="K34" s="19"/>
      <c r="L34" s="19"/>
      <c r="M34" s="19"/>
      <c r="N34" s="19"/>
      <c r="O34" s="19"/>
      <c r="P34" s="19"/>
      <c r="Q34" s="19"/>
      <c r="R34" s="20">
        <f t="shared" si="10"/>
        <v>0</v>
      </c>
      <c r="S34" s="19"/>
      <c r="T34" s="19"/>
      <c r="U34" s="19"/>
      <c r="V34" s="19"/>
      <c r="W34" s="20">
        <f t="shared" si="11"/>
        <v>0</v>
      </c>
      <c r="X34" s="19"/>
      <c r="Y34" s="19"/>
      <c r="Z34" s="20">
        <f t="shared" si="12"/>
        <v>0</v>
      </c>
      <c r="AA34" s="20">
        <f t="shared" si="13"/>
        <v>11991.35</v>
      </c>
      <c r="AB34" s="21"/>
      <c r="AC34" s="21"/>
    </row>
    <row r="35" spans="1:29" x14ac:dyDescent="0.25">
      <c r="A35" s="14" t="s">
        <v>148</v>
      </c>
      <c r="B35" s="19"/>
      <c r="C35" s="19"/>
      <c r="D35" s="19"/>
      <c r="E35" s="19"/>
      <c r="F35" s="20">
        <f>430.99</f>
        <v>430.99</v>
      </c>
      <c r="G35" s="19"/>
      <c r="H35" s="20">
        <f>50</f>
        <v>50</v>
      </c>
      <c r="I35" s="19"/>
      <c r="J35" s="19"/>
      <c r="K35" s="19"/>
      <c r="L35" s="19"/>
      <c r="M35" s="19"/>
      <c r="N35" s="19"/>
      <c r="O35" s="19"/>
      <c r="P35" s="19"/>
      <c r="Q35" s="19"/>
      <c r="R35" s="20">
        <f t="shared" si="10"/>
        <v>0</v>
      </c>
      <c r="S35" s="19"/>
      <c r="T35" s="19"/>
      <c r="U35" s="19"/>
      <c r="V35" s="19"/>
      <c r="W35" s="20">
        <f t="shared" si="11"/>
        <v>0</v>
      </c>
      <c r="X35" s="19"/>
      <c r="Y35" s="19"/>
      <c r="Z35" s="20">
        <f t="shared" si="12"/>
        <v>0</v>
      </c>
      <c r="AA35" s="20">
        <f t="shared" si="13"/>
        <v>480.99</v>
      </c>
      <c r="AB35" s="21"/>
      <c r="AC35" s="21"/>
    </row>
    <row r="36" spans="1:29" x14ac:dyDescent="0.25">
      <c r="A36" s="14" t="s">
        <v>149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>
        <f t="shared" si="10"/>
        <v>0</v>
      </c>
      <c r="S36" s="19"/>
      <c r="T36" s="19"/>
      <c r="U36" s="20">
        <f>200</f>
        <v>200</v>
      </c>
      <c r="V36" s="19"/>
      <c r="W36" s="20">
        <f t="shared" si="11"/>
        <v>200</v>
      </c>
      <c r="X36" s="19"/>
      <c r="Y36" s="19"/>
      <c r="Z36" s="20">
        <f t="shared" si="12"/>
        <v>0</v>
      </c>
      <c r="AA36" s="20">
        <f t="shared" si="13"/>
        <v>200</v>
      </c>
      <c r="AB36" s="21"/>
      <c r="AC36" s="21"/>
    </row>
    <row r="37" spans="1:29" x14ac:dyDescent="0.25">
      <c r="A37" s="14" t="s">
        <v>150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>
        <f>65.34</f>
        <v>65.34</v>
      </c>
      <c r="O37" s="19"/>
      <c r="P37" s="19"/>
      <c r="Q37" s="19"/>
      <c r="R37" s="20">
        <f t="shared" si="10"/>
        <v>0</v>
      </c>
      <c r="S37" s="19"/>
      <c r="T37" s="19"/>
      <c r="U37" s="19"/>
      <c r="V37" s="19"/>
      <c r="W37" s="20">
        <f t="shared" si="11"/>
        <v>0</v>
      </c>
      <c r="X37" s="20">
        <f>327.66</f>
        <v>327.66000000000003</v>
      </c>
      <c r="Y37" s="19"/>
      <c r="Z37" s="20">
        <f t="shared" si="12"/>
        <v>327.66000000000003</v>
      </c>
      <c r="AA37" s="20">
        <f t="shared" si="13"/>
        <v>393</v>
      </c>
      <c r="AB37" s="21"/>
      <c r="AC37" s="21"/>
    </row>
    <row r="38" spans="1:29" x14ac:dyDescent="0.25">
      <c r="A38" s="14" t="s">
        <v>151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>
        <f>428.82</f>
        <v>428.82</v>
      </c>
      <c r="O38" s="19"/>
      <c r="P38" s="19"/>
      <c r="Q38" s="19"/>
      <c r="R38" s="20">
        <f t="shared" si="10"/>
        <v>0</v>
      </c>
      <c r="S38" s="19"/>
      <c r="T38" s="19"/>
      <c r="U38" s="19"/>
      <c r="V38" s="19"/>
      <c r="W38" s="20">
        <f t="shared" si="11"/>
        <v>0</v>
      </c>
      <c r="X38" s="19"/>
      <c r="Y38" s="19"/>
      <c r="Z38" s="20">
        <f t="shared" si="12"/>
        <v>0</v>
      </c>
      <c r="AA38" s="20">
        <f t="shared" si="13"/>
        <v>428.82</v>
      </c>
      <c r="AB38" s="21"/>
      <c r="AC38" s="21"/>
    </row>
    <row r="39" spans="1:29" x14ac:dyDescent="0.25">
      <c r="A39" s="14" t="s">
        <v>152</v>
      </c>
      <c r="B39" s="19"/>
      <c r="C39" s="19"/>
      <c r="D39" s="19"/>
      <c r="E39" s="19"/>
      <c r="F39" s="19"/>
      <c r="G39" s="19"/>
      <c r="H39" s="20">
        <f>469</f>
        <v>469</v>
      </c>
      <c r="I39" s="19"/>
      <c r="J39" s="19"/>
      <c r="K39" s="19"/>
      <c r="L39" s="19"/>
      <c r="M39" s="19"/>
      <c r="N39" s="19"/>
      <c r="O39" s="19"/>
      <c r="P39" s="19"/>
      <c r="Q39" s="19"/>
      <c r="R39" s="20">
        <f t="shared" si="10"/>
        <v>0</v>
      </c>
      <c r="S39" s="19"/>
      <c r="T39" s="20">
        <f>381.98</f>
        <v>381.98</v>
      </c>
      <c r="U39" s="19"/>
      <c r="V39" s="19"/>
      <c r="W39" s="20">
        <f t="shared" si="11"/>
        <v>0</v>
      </c>
      <c r="X39" s="19"/>
      <c r="Y39" s="19"/>
      <c r="Z39" s="20">
        <f t="shared" si="12"/>
        <v>0</v>
      </c>
      <c r="AA39" s="20">
        <f t="shared" si="13"/>
        <v>850.98</v>
      </c>
      <c r="AB39" s="21"/>
      <c r="AC39" s="21"/>
    </row>
    <row r="40" spans="1:29" x14ac:dyDescent="0.25">
      <c r="A40" s="14" t="s">
        <v>153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0">
        <f>623.03</f>
        <v>623.03</v>
      </c>
      <c r="N40" s="19"/>
      <c r="O40" s="19"/>
      <c r="P40" s="19"/>
      <c r="Q40" s="19"/>
      <c r="R40" s="20">
        <f t="shared" si="10"/>
        <v>0</v>
      </c>
      <c r="S40" s="19"/>
      <c r="T40" s="19"/>
      <c r="U40" s="19"/>
      <c r="V40" s="19"/>
      <c r="W40" s="20">
        <f t="shared" si="11"/>
        <v>0</v>
      </c>
      <c r="X40" s="19"/>
      <c r="Y40" s="19"/>
      <c r="Z40" s="20">
        <f t="shared" si="12"/>
        <v>0</v>
      </c>
      <c r="AA40" s="20">
        <f t="shared" si="13"/>
        <v>623.03</v>
      </c>
      <c r="AB40" s="21"/>
      <c r="AC40" s="21"/>
    </row>
    <row r="41" spans="1:29" x14ac:dyDescent="0.25">
      <c r="A41" s="14" t="s">
        <v>154</v>
      </c>
      <c r="B41" s="22">
        <f t="shared" ref="B41:Q41" si="15">(B39)+(B40)</f>
        <v>0</v>
      </c>
      <c r="C41" s="22">
        <f t="shared" si="15"/>
        <v>0</v>
      </c>
      <c r="D41" s="22">
        <f t="shared" si="15"/>
        <v>0</v>
      </c>
      <c r="E41" s="22">
        <f t="shared" si="15"/>
        <v>0</v>
      </c>
      <c r="F41" s="22">
        <f t="shared" si="15"/>
        <v>0</v>
      </c>
      <c r="G41" s="22">
        <f t="shared" si="15"/>
        <v>0</v>
      </c>
      <c r="H41" s="22">
        <f t="shared" si="15"/>
        <v>469</v>
      </c>
      <c r="I41" s="22">
        <f t="shared" si="15"/>
        <v>0</v>
      </c>
      <c r="J41" s="22">
        <f t="shared" si="15"/>
        <v>0</v>
      </c>
      <c r="K41" s="22">
        <f t="shared" si="15"/>
        <v>0</v>
      </c>
      <c r="L41" s="22">
        <f t="shared" si="15"/>
        <v>0</v>
      </c>
      <c r="M41" s="22">
        <f t="shared" si="15"/>
        <v>623.03</v>
      </c>
      <c r="N41" s="22">
        <f t="shared" si="15"/>
        <v>0</v>
      </c>
      <c r="O41" s="22">
        <f t="shared" si="15"/>
        <v>0</v>
      </c>
      <c r="P41" s="22">
        <f t="shared" si="15"/>
        <v>0</v>
      </c>
      <c r="Q41" s="22">
        <f t="shared" si="15"/>
        <v>0</v>
      </c>
      <c r="R41" s="22">
        <f t="shared" si="10"/>
        <v>0</v>
      </c>
      <c r="S41" s="22">
        <f>(S39)+(S40)</f>
        <v>0</v>
      </c>
      <c r="T41" s="22">
        <f>(T39)+(T40)</f>
        <v>381.98</v>
      </c>
      <c r="U41" s="22">
        <f>(U39)+(U40)</f>
        <v>0</v>
      </c>
      <c r="V41" s="22">
        <f>(V39)+(V40)</f>
        <v>0</v>
      </c>
      <c r="W41" s="22">
        <f t="shared" si="11"/>
        <v>0</v>
      </c>
      <c r="X41" s="22">
        <f>(X39)+(X40)</f>
        <v>0</v>
      </c>
      <c r="Y41" s="22">
        <f>(Y39)+(Y40)</f>
        <v>0</v>
      </c>
      <c r="Z41" s="22">
        <f t="shared" si="12"/>
        <v>0</v>
      </c>
      <c r="AA41" s="22">
        <f t="shared" si="13"/>
        <v>1474.01</v>
      </c>
      <c r="AB41" s="21"/>
      <c r="AC41" s="21"/>
    </row>
    <row r="42" spans="1:29" x14ac:dyDescent="0.25">
      <c r="A42" s="14" t="s">
        <v>155</v>
      </c>
      <c r="B42" s="19"/>
      <c r="C42" s="19"/>
      <c r="D42" s="19"/>
      <c r="E42" s="19"/>
      <c r="F42" s="19"/>
      <c r="G42" s="20">
        <f>174</f>
        <v>174</v>
      </c>
      <c r="H42" s="19"/>
      <c r="I42" s="19"/>
      <c r="J42" s="19"/>
      <c r="K42" s="19"/>
      <c r="L42" s="19"/>
      <c r="M42" s="19"/>
      <c r="N42" s="20">
        <f>439.43</f>
        <v>439.43</v>
      </c>
      <c r="O42" s="19"/>
      <c r="P42" s="19"/>
      <c r="Q42" s="19"/>
      <c r="R42" s="20">
        <f t="shared" si="10"/>
        <v>0</v>
      </c>
      <c r="S42" s="19"/>
      <c r="T42" s="19"/>
      <c r="U42" s="20">
        <f>67.99</f>
        <v>67.989999999999995</v>
      </c>
      <c r="V42" s="19"/>
      <c r="W42" s="20">
        <f t="shared" si="11"/>
        <v>67.989999999999995</v>
      </c>
      <c r="X42" s="20">
        <f>420.57</f>
        <v>420.57</v>
      </c>
      <c r="Y42" s="19"/>
      <c r="Z42" s="20">
        <f t="shared" si="12"/>
        <v>420.57</v>
      </c>
      <c r="AA42" s="20">
        <f t="shared" si="13"/>
        <v>1101.99</v>
      </c>
      <c r="AB42" s="21"/>
      <c r="AC42" s="21"/>
    </row>
    <row r="43" spans="1:29" x14ac:dyDescent="0.25">
      <c r="A43" s="14" t="s">
        <v>156</v>
      </c>
      <c r="B43" s="20">
        <f>5021.72</f>
        <v>5021.72</v>
      </c>
      <c r="C43" s="20">
        <f>10044.69</f>
        <v>10044.69</v>
      </c>
      <c r="D43" s="20">
        <f>5139.24</f>
        <v>5139.24</v>
      </c>
      <c r="E43" s="19"/>
      <c r="F43" s="19"/>
      <c r="G43" s="19"/>
      <c r="H43" s="20">
        <f>3213.64</f>
        <v>3213.64</v>
      </c>
      <c r="I43" s="20">
        <f>5665.74</f>
        <v>5665.74</v>
      </c>
      <c r="J43" s="20">
        <f>5139.24</f>
        <v>5139.24</v>
      </c>
      <c r="K43" s="20">
        <f>8106.5</f>
        <v>8106.5</v>
      </c>
      <c r="L43" s="20">
        <f>5580.81</f>
        <v>5580.81</v>
      </c>
      <c r="M43" s="20">
        <f>2569.62</f>
        <v>2569.62</v>
      </c>
      <c r="N43" s="20">
        <f>2569.61</f>
        <v>2569.61</v>
      </c>
      <c r="O43" s="20">
        <f>10102.8</f>
        <v>10102.799999999999</v>
      </c>
      <c r="P43" s="19"/>
      <c r="Q43" s="19"/>
      <c r="R43" s="20">
        <f t="shared" si="10"/>
        <v>0</v>
      </c>
      <c r="S43" s="20">
        <f>2452.1</f>
        <v>2452.1</v>
      </c>
      <c r="T43" s="20">
        <f>2569.61</f>
        <v>2569.61</v>
      </c>
      <c r="U43" s="20">
        <f>2967.29</f>
        <v>2967.29</v>
      </c>
      <c r="V43" s="19"/>
      <c r="W43" s="20">
        <f t="shared" si="11"/>
        <v>2967.29</v>
      </c>
      <c r="X43" s="20">
        <f>2967.26</f>
        <v>2967.26</v>
      </c>
      <c r="Y43" s="19"/>
      <c r="Z43" s="20">
        <f t="shared" si="12"/>
        <v>2967.26</v>
      </c>
      <c r="AA43" s="20">
        <f t="shared" si="13"/>
        <v>74109.87</v>
      </c>
      <c r="AB43" s="21"/>
      <c r="AC43" s="21"/>
    </row>
    <row r="44" spans="1:29" x14ac:dyDescent="0.25">
      <c r="A44" s="14" t="s">
        <v>157</v>
      </c>
      <c r="B44" s="19"/>
      <c r="C44" s="19"/>
      <c r="D44" s="19"/>
      <c r="E44" s="20">
        <f>2371</f>
        <v>2371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>
        <f t="shared" si="10"/>
        <v>0</v>
      </c>
      <c r="S44" s="19"/>
      <c r="T44" s="19"/>
      <c r="U44" s="19"/>
      <c r="V44" s="19"/>
      <c r="W44" s="20">
        <f t="shared" si="11"/>
        <v>0</v>
      </c>
      <c r="X44" s="19"/>
      <c r="Y44" s="19"/>
      <c r="Z44" s="20">
        <f t="shared" si="12"/>
        <v>0</v>
      </c>
      <c r="AA44" s="20">
        <f t="shared" si="13"/>
        <v>2371</v>
      </c>
      <c r="AB44" s="21"/>
      <c r="AC44" s="21"/>
    </row>
    <row r="45" spans="1:29" x14ac:dyDescent="0.25">
      <c r="A45" s="14" t="s">
        <v>158</v>
      </c>
      <c r="B45" s="22">
        <f t="shared" ref="B45:Q45" si="16">(B43)+(B44)</f>
        <v>5021.72</v>
      </c>
      <c r="C45" s="22">
        <f t="shared" si="16"/>
        <v>10044.69</v>
      </c>
      <c r="D45" s="22">
        <f t="shared" si="16"/>
        <v>5139.24</v>
      </c>
      <c r="E45" s="22">
        <f t="shared" si="16"/>
        <v>2371</v>
      </c>
      <c r="F45" s="22">
        <f t="shared" si="16"/>
        <v>0</v>
      </c>
      <c r="G45" s="22">
        <f t="shared" si="16"/>
        <v>0</v>
      </c>
      <c r="H45" s="22">
        <f t="shared" si="16"/>
        <v>3213.64</v>
      </c>
      <c r="I45" s="22">
        <f t="shared" si="16"/>
        <v>5665.74</v>
      </c>
      <c r="J45" s="22">
        <f t="shared" si="16"/>
        <v>5139.24</v>
      </c>
      <c r="K45" s="22">
        <f t="shared" si="16"/>
        <v>8106.5</v>
      </c>
      <c r="L45" s="22">
        <f t="shared" si="16"/>
        <v>5580.81</v>
      </c>
      <c r="M45" s="22">
        <f t="shared" si="16"/>
        <v>2569.62</v>
      </c>
      <c r="N45" s="22">
        <f t="shared" si="16"/>
        <v>2569.61</v>
      </c>
      <c r="O45" s="22">
        <f t="shared" si="16"/>
        <v>10102.799999999999</v>
      </c>
      <c r="P45" s="22">
        <f t="shared" si="16"/>
        <v>0</v>
      </c>
      <c r="Q45" s="22">
        <f t="shared" si="16"/>
        <v>0</v>
      </c>
      <c r="R45" s="22">
        <f t="shared" si="10"/>
        <v>0</v>
      </c>
      <c r="S45" s="22">
        <f>(S43)+(S44)</f>
        <v>2452.1</v>
      </c>
      <c r="T45" s="22">
        <f>(T43)+(T44)</f>
        <v>2569.61</v>
      </c>
      <c r="U45" s="22">
        <f>(U43)+(U44)</f>
        <v>2967.29</v>
      </c>
      <c r="V45" s="22">
        <f>(V43)+(V44)</f>
        <v>0</v>
      </c>
      <c r="W45" s="22">
        <f t="shared" si="11"/>
        <v>2967.29</v>
      </c>
      <c r="X45" s="22">
        <f>(X43)+(X44)</f>
        <v>2967.26</v>
      </c>
      <c r="Y45" s="22">
        <f>(Y43)+(Y44)</f>
        <v>0</v>
      </c>
      <c r="Z45" s="22">
        <f t="shared" si="12"/>
        <v>2967.26</v>
      </c>
      <c r="AA45" s="22">
        <f t="shared" si="13"/>
        <v>76480.87</v>
      </c>
      <c r="AB45" s="21"/>
      <c r="AC45" s="21"/>
    </row>
    <row r="46" spans="1:29" x14ac:dyDescent="0.25">
      <c r="A46" s="14" t="s">
        <v>159</v>
      </c>
      <c r="B46" s="19"/>
      <c r="C46" s="19"/>
      <c r="D46" s="19"/>
      <c r="E46" s="19"/>
      <c r="F46" s="20">
        <f>1122.12</f>
        <v>1122.1199999999999</v>
      </c>
      <c r="G46" s="19"/>
      <c r="H46" s="20">
        <f>2389.44</f>
        <v>2389.44</v>
      </c>
      <c r="I46" s="19"/>
      <c r="J46" s="19"/>
      <c r="K46" s="19"/>
      <c r="L46" s="19"/>
      <c r="M46" s="19"/>
      <c r="N46" s="19"/>
      <c r="O46" s="19"/>
      <c r="P46" s="19"/>
      <c r="Q46" s="19"/>
      <c r="R46" s="20">
        <f t="shared" si="10"/>
        <v>0</v>
      </c>
      <c r="S46" s="19"/>
      <c r="T46" s="19"/>
      <c r="U46" s="19"/>
      <c r="V46" s="19"/>
      <c r="W46" s="20">
        <f t="shared" si="11"/>
        <v>0</v>
      </c>
      <c r="X46" s="19"/>
      <c r="Y46" s="19"/>
      <c r="Z46" s="20">
        <f t="shared" si="12"/>
        <v>0</v>
      </c>
      <c r="AA46" s="20">
        <f t="shared" si="13"/>
        <v>3511.56</v>
      </c>
      <c r="AB46" s="21"/>
      <c r="AC46" s="21"/>
    </row>
    <row r="47" spans="1:29" x14ac:dyDescent="0.25">
      <c r="A47" s="14" t="s">
        <v>160</v>
      </c>
      <c r="B47" s="19"/>
      <c r="C47" s="19"/>
      <c r="D47" s="19"/>
      <c r="E47" s="19"/>
      <c r="F47" s="20">
        <f>1000</f>
        <v>1000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>
        <f t="shared" si="10"/>
        <v>0</v>
      </c>
      <c r="S47" s="19"/>
      <c r="T47" s="19"/>
      <c r="U47" s="19"/>
      <c r="V47" s="19"/>
      <c r="W47" s="20">
        <f t="shared" si="11"/>
        <v>0</v>
      </c>
      <c r="X47" s="20">
        <f>3796.04</f>
        <v>3796.04</v>
      </c>
      <c r="Y47" s="19"/>
      <c r="Z47" s="20">
        <f t="shared" si="12"/>
        <v>3796.04</v>
      </c>
      <c r="AA47" s="20">
        <f t="shared" si="13"/>
        <v>4796.04</v>
      </c>
      <c r="AB47" s="21"/>
      <c r="AC47" s="21"/>
    </row>
    <row r="48" spans="1:29" x14ac:dyDescent="0.25">
      <c r="A48" s="14" t="s">
        <v>161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>
        <f t="shared" si="10"/>
        <v>0</v>
      </c>
      <c r="S48" s="19"/>
      <c r="T48" s="19"/>
      <c r="U48" s="19"/>
      <c r="V48" s="19"/>
      <c r="W48" s="20">
        <f t="shared" si="11"/>
        <v>0</v>
      </c>
      <c r="X48" s="19"/>
      <c r="Y48" s="19"/>
      <c r="Z48" s="20">
        <f t="shared" si="12"/>
        <v>0</v>
      </c>
      <c r="AA48" s="20">
        <f t="shared" si="13"/>
        <v>0</v>
      </c>
      <c r="AB48" s="21"/>
      <c r="AC48" s="21"/>
    </row>
    <row r="49" spans="1:29" x14ac:dyDescent="0.25">
      <c r="A49" s="14" t="s">
        <v>162</v>
      </c>
      <c r="B49" s="19"/>
      <c r="C49" s="19"/>
      <c r="D49" s="20">
        <f>105.08</f>
        <v>105.08</v>
      </c>
      <c r="E49" s="19"/>
      <c r="F49" s="20">
        <f>960.86</f>
        <v>960.86</v>
      </c>
      <c r="G49" s="19"/>
      <c r="H49" s="19"/>
      <c r="I49" s="19"/>
      <c r="J49" s="19"/>
      <c r="K49" s="19"/>
      <c r="L49" s="19"/>
      <c r="M49" s="19"/>
      <c r="N49" s="20">
        <f>2691.04</f>
        <v>2691.04</v>
      </c>
      <c r="O49" s="19"/>
      <c r="P49" s="19"/>
      <c r="Q49" s="19"/>
      <c r="R49" s="20">
        <f t="shared" si="10"/>
        <v>0</v>
      </c>
      <c r="S49" s="19"/>
      <c r="T49" s="19"/>
      <c r="U49" s="19"/>
      <c r="V49" s="19"/>
      <c r="W49" s="20">
        <f t="shared" si="11"/>
        <v>0</v>
      </c>
      <c r="X49" s="19"/>
      <c r="Y49" s="19"/>
      <c r="Z49" s="20">
        <f t="shared" si="12"/>
        <v>0</v>
      </c>
      <c r="AA49" s="20">
        <f t="shared" si="13"/>
        <v>3756.98</v>
      </c>
      <c r="AB49" s="21"/>
      <c r="AC49" s="21"/>
    </row>
    <row r="50" spans="1:29" x14ac:dyDescent="0.25">
      <c r="A50" s="14" t="s">
        <v>163</v>
      </c>
      <c r="B50" s="22">
        <f t="shared" ref="B50:Q50" si="17">(B48)+(B49)</f>
        <v>0</v>
      </c>
      <c r="C50" s="22">
        <f t="shared" si="17"/>
        <v>0</v>
      </c>
      <c r="D50" s="22">
        <f t="shared" si="17"/>
        <v>105.08</v>
      </c>
      <c r="E50" s="22">
        <f t="shared" si="17"/>
        <v>0</v>
      </c>
      <c r="F50" s="22">
        <f t="shared" si="17"/>
        <v>960.86</v>
      </c>
      <c r="G50" s="22">
        <f t="shared" si="17"/>
        <v>0</v>
      </c>
      <c r="H50" s="22">
        <f t="shared" si="17"/>
        <v>0</v>
      </c>
      <c r="I50" s="22">
        <f t="shared" si="17"/>
        <v>0</v>
      </c>
      <c r="J50" s="22">
        <f t="shared" si="17"/>
        <v>0</v>
      </c>
      <c r="K50" s="22">
        <f t="shared" si="17"/>
        <v>0</v>
      </c>
      <c r="L50" s="22">
        <f t="shared" si="17"/>
        <v>0</v>
      </c>
      <c r="M50" s="22">
        <f t="shared" si="17"/>
        <v>0</v>
      </c>
      <c r="N50" s="22">
        <f t="shared" si="17"/>
        <v>2691.04</v>
      </c>
      <c r="O50" s="22">
        <f t="shared" si="17"/>
        <v>0</v>
      </c>
      <c r="P50" s="22">
        <f t="shared" si="17"/>
        <v>0</v>
      </c>
      <c r="Q50" s="22">
        <f t="shared" si="17"/>
        <v>0</v>
      </c>
      <c r="R50" s="22">
        <f t="shared" si="10"/>
        <v>0</v>
      </c>
      <c r="S50" s="22">
        <f>(S48)+(S49)</f>
        <v>0</v>
      </c>
      <c r="T50" s="22">
        <f>(T48)+(T49)</f>
        <v>0</v>
      </c>
      <c r="U50" s="22">
        <f>(U48)+(U49)</f>
        <v>0</v>
      </c>
      <c r="V50" s="22">
        <f>(V48)+(V49)</f>
        <v>0</v>
      </c>
      <c r="W50" s="22">
        <f t="shared" si="11"/>
        <v>0</v>
      </c>
      <c r="X50" s="22">
        <f>(X48)+(X49)</f>
        <v>0</v>
      </c>
      <c r="Y50" s="22">
        <f>(Y48)+(Y49)</f>
        <v>0</v>
      </c>
      <c r="Z50" s="22">
        <f t="shared" si="12"/>
        <v>0</v>
      </c>
      <c r="AA50" s="22">
        <f t="shared" si="13"/>
        <v>3756.98</v>
      </c>
      <c r="AB50" s="21"/>
      <c r="AC50" s="21"/>
    </row>
    <row r="51" spans="1:29" x14ac:dyDescent="0.25">
      <c r="A51" s="14" t="s">
        <v>164</v>
      </c>
      <c r="B51" s="19"/>
      <c r="C51" s="19"/>
      <c r="D51" s="19"/>
      <c r="E51" s="19"/>
      <c r="F51" s="20">
        <f>1261</f>
        <v>1261</v>
      </c>
      <c r="G51" s="19"/>
      <c r="H51" s="19"/>
      <c r="I51" s="19"/>
      <c r="J51" s="19"/>
      <c r="K51" s="20">
        <f>800</f>
        <v>800</v>
      </c>
      <c r="L51" s="19"/>
      <c r="M51" s="19"/>
      <c r="N51" s="19"/>
      <c r="O51" s="19"/>
      <c r="P51" s="19"/>
      <c r="Q51" s="19"/>
      <c r="R51" s="20">
        <f t="shared" si="10"/>
        <v>0</v>
      </c>
      <c r="S51" s="19"/>
      <c r="T51" s="19"/>
      <c r="U51" s="20">
        <f>200</f>
        <v>200</v>
      </c>
      <c r="V51" s="19"/>
      <c r="W51" s="20">
        <f t="shared" si="11"/>
        <v>200</v>
      </c>
      <c r="X51" s="19"/>
      <c r="Y51" s="19"/>
      <c r="Z51" s="20">
        <f t="shared" si="12"/>
        <v>0</v>
      </c>
      <c r="AA51" s="20">
        <f t="shared" si="13"/>
        <v>2261</v>
      </c>
      <c r="AB51" s="21"/>
      <c r="AC51" s="21"/>
    </row>
    <row r="52" spans="1:29" x14ac:dyDescent="0.25">
      <c r="A52" s="14" t="s">
        <v>165</v>
      </c>
      <c r="B52" s="22">
        <f t="shared" ref="B52:Q52" si="18">((((((((((((B33)+(B34))+(B35))+(B36))+(B37))+(B38))+(B41))+(B42))+(B45))+(B46))+(B47))+(B50))+(B51)</f>
        <v>5021.72</v>
      </c>
      <c r="C52" s="22">
        <f t="shared" si="18"/>
        <v>10044.69</v>
      </c>
      <c r="D52" s="22">
        <f t="shared" si="18"/>
        <v>5244.32</v>
      </c>
      <c r="E52" s="22">
        <f t="shared" si="18"/>
        <v>3391.58</v>
      </c>
      <c r="F52" s="22">
        <f t="shared" si="18"/>
        <v>4774.9699999999993</v>
      </c>
      <c r="G52" s="22">
        <f t="shared" si="18"/>
        <v>174</v>
      </c>
      <c r="H52" s="22">
        <f t="shared" si="18"/>
        <v>17092.849999999999</v>
      </c>
      <c r="I52" s="22">
        <f t="shared" si="18"/>
        <v>5665.74</v>
      </c>
      <c r="J52" s="22">
        <f t="shared" si="18"/>
        <v>5139.24</v>
      </c>
      <c r="K52" s="22">
        <f t="shared" si="18"/>
        <v>8906.5</v>
      </c>
      <c r="L52" s="22">
        <f t="shared" si="18"/>
        <v>5580.81</v>
      </c>
      <c r="M52" s="22">
        <f t="shared" si="18"/>
        <v>3192.6499999999996</v>
      </c>
      <c r="N52" s="22">
        <f t="shared" si="18"/>
        <v>6194.24</v>
      </c>
      <c r="O52" s="22">
        <f t="shared" si="18"/>
        <v>10102.799999999999</v>
      </c>
      <c r="P52" s="22">
        <f t="shared" si="18"/>
        <v>0</v>
      </c>
      <c r="Q52" s="22">
        <f t="shared" si="18"/>
        <v>0</v>
      </c>
      <c r="R52" s="22">
        <f t="shared" si="10"/>
        <v>0</v>
      </c>
      <c r="S52" s="22">
        <f>((((((((((((S33)+(S34))+(S35))+(S36))+(S37))+(S38))+(S41))+(S42))+(S45))+(S46))+(S47))+(S50))+(S51)</f>
        <v>2452.1</v>
      </c>
      <c r="T52" s="22">
        <f>((((((((((((T33)+(T34))+(T35))+(T36))+(T37))+(T38))+(T41))+(T42))+(T45))+(T46))+(T47))+(T50))+(T51)</f>
        <v>2951.59</v>
      </c>
      <c r="U52" s="22">
        <f>((((((((((((U33)+(U34))+(U35))+(U36))+(U37))+(U38))+(U41))+(U42))+(U45))+(U46))+(U47))+(U50))+(U51)</f>
        <v>3435.2799999999997</v>
      </c>
      <c r="V52" s="22">
        <f>((((((((((((V33)+(V34))+(V35))+(V36))+(V37))+(V38))+(V41))+(V42))+(V45))+(V46))+(V47))+(V50))+(V51)</f>
        <v>0</v>
      </c>
      <c r="W52" s="22">
        <f t="shared" si="11"/>
        <v>3435.2799999999997</v>
      </c>
      <c r="X52" s="22">
        <f>((((((((((((X33)+(X34))+(X35))+(X36))+(X37))+(X38))+(X41))+(X42))+(X45))+(X46))+(X47))+(X50))+(X51)</f>
        <v>7511.5300000000007</v>
      </c>
      <c r="Y52" s="22">
        <f>((((((((((((Y33)+(Y34))+(Y35))+(Y36))+(Y37))+(Y38))+(Y41))+(Y42))+(Y45))+(Y46))+(Y47))+(Y50))+(Y51)</f>
        <v>0</v>
      </c>
      <c r="Z52" s="22">
        <f t="shared" si="12"/>
        <v>7511.5300000000007</v>
      </c>
      <c r="AA52" s="22">
        <f t="shared" si="13"/>
        <v>106876.61</v>
      </c>
      <c r="AB52" s="21"/>
      <c r="AC52" s="21"/>
    </row>
    <row r="53" spans="1:29" x14ac:dyDescent="0.25">
      <c r="A53" s="14" t="s">
        <v>166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>
        <f t="shared" si="10"/>
        <v>0</v>
      </c>
      <c r="S53" s="19"/>
      <c r="T53" s="19"/>
      <c r="U53" s="19"/>
      <c r="V53" s="19"/>
      <c r="W53" s="20">
        <f t="shared" si="11"/>
        <v>0</v>
      </c>
      <c r="X53" s="19"/>
      <c r="Y53" s="19"/>
      <c r="Z53" s="20">
        <f t="shared" si="12"/>
        <v>0</v>
      </c>
      <c r="AA53" s="20">
        <f t="shared" si="13"/>
        <v>0</v>
      </c>
      <c r="AB53" s="21"/>
      <c r="AC53" s="21"/>
    </row>
    <row r="54" spans="1:29" x14ac:dyDescent="0.25">
      <c r="A54" s="14" t="s">
        <v>126</v>
      </c>
      <c r="B54" s="19"/>
      <c r="C54" s="19"/>
      <c r="D54" s="19"/>
      <c r="E54" s="20">
        <f>400.75</f>
        <v>400.75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>
        <f t="shared" si="10"/>
        <v>0</v>
      </c>
      <c r="S54" s="19"/>
      <c r="T54" s="19"/>
      <c r="U54" s="19"/>
      <c r="V54" s="19"/>
      <c r="W54" s="20">
        <f t="shared" si="11"/>
        <v>0</v>
      </c>
      <c r="X54" s="19"/>
      <c r="Y54" s="19"/>
      <c r="Z54" s="20">
        <f t="shared" si="12"/>
        <v>0</v>
      </c>
      <c r="AA54" s="20">
        <f t="shared" si="13"/>
        <v>400.75</v>
      </c>
      <c r="AB54" s="21"/>
      <c r="AC54" s="21"/>
    </row>
    <row r="55" spans="1:29" x14ac:dyDescent="0.25">
      <c r="A55" s="14" t="s">
        <v>167</v>
      </c>
      <c r="B55" s="19"/>
      <c r="C55" s="19"/>
      <c r="D55" s="19"/>
      <c r="E55" s="19"/>
      <c r="F55" s="19"/>
      <c r="G55" s="19"/>
      <c r="H55" s="20">
        <f>1649.34</f>
        <v>1649.34</v>
      </c>
      <c r="I55" s="19"/>
      <c r="J55" s="19"/>
      <c r="K55" s="19"/>
      <c r="L55" s="19"/>
      <c r="M55" s="19"/>
      <c r="N55" s="19"/>
      <c r="O55" s="19"/>
      <c r="P55" s="19"/>
      <c r="Q55" s="19"/>
      <c r="R55" s="20">
        <f t="shared" si="10"/>
        <v>0</v>
      </c>
      <c r="S55" s="19"/>
      <c r="T55" s="19"/>
      <c r="U55" s="19"/>
      <c r="V55" s="19"/>
      <c r="W55" s="20">
        <f t="shared" si="11"/>
        <v>0</v>
      </c>
      <c r="X55" s="19"/>
      <c r="Y55" s="19"/>
      <c r="Z55" s="20">
        <f t="shared" si="12"/>
        <v>0</v>
      </c>
      <c r="AA55" s="20">
        <f t="shared" si="13"/>
        <v>1649.34</v>
      </c>
      <c r="AB55" s="21"/>
      <c r="AC55" s="21"/>
    </row>
    <row r="56" spans="1:29" x14ac:dyDescent="0.25">
      <c r="A56" s="14" t="s">
        <v>168</v>
      </c>
      <c r="B56" s="22">
        <f t="shared" ref="B56:Q56" si="19">((B53)+(B54))+(B55)</f>
        <v>0</v>
      </c>
      <c r="C56" s="22">
        <f t="shared" si="19"/>
        <v>0</v>
      </c>
      <c r="D56" s="22">
        <f t="shared" si="19"/>
        <v>0</v>
      </c>
      <c r="E56" s="22">
        <f t="shared" si="19"/>
        <v>400.75</v>
      </c>
      <c r="F56" s="22">
        <f t="shared" si="19"/>
        <v>0</v>
      </c>
      <c r="G56" s="22">
        <f t="shared" si="19"/>
        <v>0</v>
      </c>
      <c r="H56" s="22">
        <f t="shared" si="19"/>
        <v>1649.34</v>
      </c>
      <c r="I56" s="22">
        <f t="shared" si="19"/>
        <v>0</v>
      </c>
      <c r="J56" s="22">
        <f t="shared" si="19"/>
        <v>0</v>
      </c>
      <c r="K56" s="22">
        <f t="shared" si="19"/>
        <v>0</v>
      </c>
      <c r="L56" s="22">
        <f t="shared" si="19"/>
        <v>0</v>
      </c>
      <c r="M56" s="22">
        <f t="shared" si="19"/>
        <v>0</v>
      </c>
      <c r="N56" s="22">
        <f t="shared" si="19"/>
        <v>0</v>
      </c>
      <c r="O56" s="22">
        <f t="shared" si="19"/>
        <v>0</v>
      </c>
      <c r="P56" s="22">
        <f t="shared" si="19"/>
        <v>0</v>
      </c>
      <c r="Q56" s="22">
        <f t="shared" si="19"/>
        <v>0</v>
      </c>
      <c r="R56" s="22">
        <f t="shared" si="10"/>
        <v>0</v>
      </c>
      <c r="S56" s="22">
        <f>((S53)+(S54))+(S55)</f>
        <v>0</v>
      </c>
      <c r="T56" s="22">
        <f>((T53)+(T54))+(T55)</f>
        <v>0</v>
      </c>
      <c r="U56" s="22">
        <f>((U53)+(U54))+(U55)</f>
        <v>0</v>
      </c>
      <c r="V56" s="22">
        <f>((V53)+(V54))+(V55)</f>
        <v>0</v>
      </c>
      <c r="W56" s="22">
        <f t="shared" si="11"/>
        <v>0</v>
      </c>
      <c r="X56" s="22">
        <f>((X53)+(X54))+(X55)</f>
        <v>0</v>
      </c>
      <c r="Y56" s="22">
        <f>((Y53)+(Y54))+(Y55)</f>
        <v>0</v>
      </c>
      <c r="Z56" s="22">
        <f t="shared" si="12"/>
        <v>0</v>
      </c>
      <c r="AA56" s="22">
        <f t="shared" si="13"/>
        <v>2050.09</v>
      </c>
      <c r="AB56" s="21"/>
      <c r="AC56" s="21"/>
    </row>
    <row r="57" spans="1:29" x14ac:dyDescent="0.25">
      <c r="A57" s="14" t="s">
        <v>169</v>
      </c>
      <c r="B57" s="22">
        <f t="shared" ref="B57:Q57" si="20">(((B31)+(B32))+(B52))+(B56)</f>
        <v>5021.72</v>
      </c>
      <c r="C57" s="22">
        <f t="shared" si="20"/>
        <v>10044.69</v>
      </c>
      <c r="D57" s="22">
        <f t="shared" si="20"/>
        <v>5244.32</v>
      </c>
      <c r="E57" s="22">
        <f t="shared" si="20"/>
        <v>3792.33</v>
      </c>
      <c r="F57" s="22">
        <f t="shared" si="20"/>
        <v>4774.9699999999993</v>
      </c>
      <c r="G57" s="22">
        <f t="shared" si="20"/>
        <v>174</v>
      </c>
      <c r="H57" s="22">
        <f t="shared" si="20"/>
        <v>18742.189999999999</v>
      </c>
      <c r="I57" s="22">
        <f t="shared" si="20"/>
        <v>5665.74</v>
      </c>
      <c r="J57" s="22">
        <f t="shared" si="20"/>
        <v>5139.24</v>
      </c>
      <c r="K57" s="22">
        <f t="shared" si="20"/>
        <v>8906.5</v>
      </c>
      <c r="L57" s="22">
        <f t="shared" si="20"/>
        <v>5580.81</v>
      </c>
      <c r="M57" s="22">
        <f t="shared" si="20"/>
        <v>3192.6499999999996</v>
      </c>
      <c r="N57" s="22">
        <f t="shared" si="20"/>
        <v>6194.24</v>
      </c>
      <c r="O57" s="22">
        <f t="shared" si="20"/>
        <v>10102.799999999999</v>
      </c>
      <c r="P57" s="22">
        <f t="shared" si="20"/>
        <v>0</v>
      </c>
      <c r="Q57" s="22">
        <f t="shared" si="20"/>
        <v>615.29999999999995</v>
      </c>
      <c r="R57" s="22">
        <f t="shared" si="10"/>
        <v>615.29999999999995</v>
      </c>
      <c r="S57" s="22">
        <f>(((S31)+(S32))+(S52))+(S56)</f>
        <v>2452.1</v>
      </c>
      <c r="T57" s="22">
        <f>(((T31)+(T32))+(T52))+(T56)</f>
        <v>2951.59</v>
      </c>
      <c r="U57" s="22">
        <f>(((U31)+(U32))+(U52))+(U56)</f>
        <v>3435.2799999999997</v>
      </c>
      <c r="V57" s="22">
        <f>(((V31)+(V32))+(V52))+(V56)</f>
        <v>433.62</v>
      </c>
      <c r="W57" s="22">
        <f t="shared" si="11"/>
        <v>3868.8999999999996</v>
      </c>
      <c r="X57" s="22">
        <f>(((X31)+(X32))+(X52))+(X56)</f>
        <v>7511.5300000000007</v>
      </c>
      <c r="Y57" s="22">
        <f>(((Y31)+(Y32))+(Y52))+(Y56)</f>
        <v>433.62</v>
      </c>
      <c r="Z57" s="22">
        <f t="shared" si="12"/>
        <v>7945.1500000000005</v>
      </c>
      <c r="AA57" s="22">
        <f t="shared" si="13"/>
        <v>110409.23999999999</v>
      </c>
      <c r="AB57" s="21"/>
      <c r="AC57" s="21"/>
    </row>
    <row r="58" spans="1:29" x14ac:dyDescent="0.25">
      <c r="A58" s="14" t="s">
        <v>170</v>
      </c>
      <c r="B58" s="22">
        <f t="shared" ref="B58:Q58" si="21">(B25)-(B57)</f>
        <v>-5021.72</v>
      </c>
      <c r="C58" s="22">
        <f t="shared" si="21"/>
        <v>-10044.69</v>
      </c>
      <c r="D58" s="22">
        <f t="shared" si="21"/>
        <v>-5244.32</v>
      </c>
      <c r="E58" s="22">
        <f t="shared" si="21"/>
        <v>-1184.33</v>
      </c>
      <c r="F58" s="22">
        <f t="shared" si="21"/>
        <v>-4774.9699999999993</v>
      </c>
      <c r="G58" s="22">
        <f t="shared" si="21"/>
        <v>-174</v>
      </c>
      <c r="H58" s="22">
        <f t="shared" si="21"/>
        <v>12157.350000000002</v>
      </c>
      <c r="I58" s="22">
        <f t="shared" si="21"/>
        <v>-5665.74</v>
      </c>
      <c r="J58" s="22">
        <f t="shared" si="21"/>
        <v>-5139.24</v>
      </c>
      <c r="K58" s="22">
        <f t="shared" si="21"/>
        <v>-8906.5</v>
      </c>
      <c r="L58" s="22">
        <f t="shared" si="21"/>
        <v>-5580.81</v>
      </c>
      <c r="M58" s="22">
        <f t="shared" si="21"/>
        <v>-3192.6499999999996</v>
      </c>
      <c r="N58" s="22">
        <f t="shared" si="21"/>
        <v>-4043.4399999999996</v>
      </c>
      <c r="O58" s="22">
        <f t="shared" si="21"/>
        <v>-10102.799999999999</v>
      </c>
      <c r="P58" s="22">
        <f t="shared" si="21"/>
        <v>0</v>
      </c>
      <c r="Q58" s="22">
        <f t="shared" si="21"/>
        <v>6405.3</v>
      </c>
      <c r="R58" s="22">
        <f t="shared" si="10"/>
        <v>6405.3</v>
      </c>
      <c r="S58" s="22">
        <f>(S25)-(S57)</f>
        <v>-2452.1</v>
      </c>
      <c r="T58" s="22">
        <f>(T25)-(T57)</f>
        <v>-2806.2400000000002</v>
      </c>
      <c r="U58" s="22">
        <f>(U25)-(U57)</f>
        <v>-2844.2999999999997</v>
      </c>
      <c r="V58" s="22">
        <f>(V25)-(V57)</f>
        <v>-433.62</v>
      </c>
      <c r="W58" s="22">
        <f t="shared" si="11"/>
        <v>-3277.9199999999996</v>
      </c>
      <c r="X58" s="22">
        <f>(X25)-(X57)</f>
        <v>-4978.9600000000009</v>
      </c>
      <c r="Y58" s="22">
        <f>(Y25)-(Y57)</f>
        <v>-433.62</v>
      </c>
      <c r="Z58" s="22">
        <f t="shared" si="12"/>
        <v>-5412.5800000000008</v>
      </c>
      <c r="AA58" s="22">
        <f t="shared" si="13"/>
        <v>-64461.399999999994</v>
      </c>
      <c r="AB58" s="21"/>
      <c r="AC58" s="21"/>
    </row>
    <row r="59" spans="1:29" x14ac:dyDescent="0.25">
      <c r="A59" s="14" t="s">
        <v>171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1"/>
      <c r="AC59" s="21"/>
    </row>
    <row r="60" spans="1:29" x14ac:dyDescent="0.25">
      <c r="A60" s="14" t="s">
        <v>172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20">
        <f>1.14</f>
        <v>1.1399999999999999</v>
      </c>
      <c r="R60" s="20">
        <f t="shared" ref="R60:R66" si="22">(P60)+(Q60)</f>
        <v>1.1399999999999999</v>
      </c>
      <c r="S60" s="19"/>
      <c r="T60" s="19"/>
      <c r="U60" s="19"/>
      <c r="V60" s="19"/>
      <c r="W60" s="20">
        <f t="shared" ref="W60:W66" si="23">(U60)+(V60)</f>
        <v>0</v>
      </c>
      <c r="X60" s="19"/>
      <c r="Y60" s="19"/>
      <c r="Z60" s="20">
        <f t="shared" ref="Z60:Z66" si="24">(X60)+(Y60)</f>
        <v>0</v>
      </c>
      <c r="AA60" s="20">
        <f t="shared" ref="AA60:AA66" si="25">((((((((((((((((((B60)+(C60))+(D60))+(E60))+(F60))+(G60))+(H60))+(I60))+(J60))+(K60))+(L60))+(M60))+(N60))+(O60))+(R60))+(S60))+(T60))+(W60))+(Z60)</f>
        <v>1.1399999999999999</v>
      </c>
      <c r="AB60" s="21"/>
      <c r="AC60" s="21"/>
    </row>
    <row r="61" spans="1:29" x14ac:dyDescent="0.25">
      <c r="A61" s="14" t="s">
        <v>173</v>
      </c>
      <c r="B61" s="19"/>
      <c r="C61" s="19"/>
      <c r="D61" s="19"/>
      <c r="E61" s="20">
        <f>923</f>
        <v>923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>
        <f t="shared" si="22"/>
        <v>0</v>
      </c>
      <c r="S61" s="19"/>
      <c r="T61" s="19"/>
      <c r="U61" s="19"/>
      <c r="V61" s="19"/>
      <c r="W61" s="20">
        <f t="shared" si="23"/>
        <v>0</v>
      </c>
      <c r="X61" s="19"/>
      <c r="Y61" s="19"/>
      <c r="Z61" s="20">
        <f t="shared" si="24"/>
        <v>0</v>
      </c>
      <c r="AA61" s="20">
        <f t="shared" si="25"/>
        <v>923</v>
      </c>
      <c r="AB61" s="21"/>
      <c r="AC61" s="21"/>
    </row>
    <row r="62" spans="1:29" x14ac:dyDescent="0.25">
      <c r="A62" s="14" t="s">
        <v>174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0">
        <f>2449</f>
        <v>2449</v>
      </c>
      <c r="O62" s="19"/>
      <c r="P62" s="19"/>
      <c r="Q62" s="19"/>
      <c r="R62" s="20">
        <f t="shared" si="22"/>
        <v>0</v>
      </c>
      <c r="S62" s="19"/>
      <c r="T62" s="19"/>
      <c r="U62" s="19"/>
      <c r="V62" s="19"/>
      <c r="W62" s="20">
        <f t="shared" si="23"/>
        <v>0</v>
      </c>
      <c r="X62" s="19"/>
      <c r="Y62" s="19"/>
      <c r="Z62" s="20">
        <f t="shared" si="24"/>
        <v>0</v>
      </c>
      <c r="AA62" s="20">
        <f t="shared" si="25"/>
        <v>2449</v>
      </c>
      <c r="AB62" s="21"/>
      <c r="AC62" s="21"/>
    </row>
    <row r="63" spans="1:29" x14ac:dyDescent="0.25">
      <c r="A63" s="14" t="s">
        <v>175</v>
      </c>
      <c r="B63" s="22">
        <f t="shared" ref="B63:Q63" si="26">(B61)+(B62)</f>
        <v>0</v>
      </c>
      <c r="C63" s="22">
        <f t="shared" si="26"/>
        <v>0</v>
      </c>
      <c r="D63" s="22">
        <f t="shared" si="26"/>
        <v>0</v>
      </c>
      <c r="E63" s="22">
        <f t="shared" si="26"/>
        <v>923</v>
      </c>
      <c r="F63" s="22">
        <f t="shared" si="26"/>
        <v>0</v>
      </c>
      <c r="G63" s="22">
        <f t="shared" si="26"/>
        <v>0</v>
      </c>
      <c r="H63" s="22">
        <f t="shared" si="26"/>
        <v>0</v>
      </c>
      <c r="I63" s="22">
        <f t="shared" si="26"/>
        <v>0</v>
      </c>
      <c r="J63" s="22">
        <f t="shared" si="26"/>
        <v>0</v>
      </c>
      <c r="K63" s="22">
        <f t="shared" si="26"/>
        <v>0</v>
      </c>
      <c r="L63" s="22">
        <f t="shared" si="26"/>
        <v>0</v>
      </c>
      <c r="M63" s="22">
        <f t="shared" si="26"/>
        <v>0</v>
      </c>
      <c r="N63" s="22">
        <f t="shared" si="26"/>
        <v>2449</v>
      </c>
      <c r="O63" s="22">
        <f t="shared" si="26"/>
        <v>0</v>
      </c>
      <c r="P63" s="22">
        <f t="shared" si="26"/>
        <v>0</v>
      </c>
      <c r="Q63" s="22">
        <f t="shared" si="26"/>
        <v>0</v>
      </c>
      <c r="R63" s="22">
        <f t="shared" si="22"/>
        <v>0</v>
      </c>
      <c r="S63" s="22">
        <f>(S61)+(S62)</f>
        <v>0</v>
      </c>
      <c r="T63" s="22">
        <f>(T61)+(T62)</f>
        <v>0</v>
      </c>
      <c r="U63" s="22">
        <f>(U61)+(U62)</f>
        <v>0</v>
      </c>
      <c r="V63" s="22">
        <f>(V61)+(V62)</f>
        <v>0</v>
      </c>
      <c r="W63" s="22">
        <f t="shared" si="23"/>
        <v>0</v>
      </c>
      <c r="X63" s="22">
        <f>(X61)+(X62)</f>
        <v>0</v>
      </c>
      <c r="Y63" s="22">
        <f>(Y61)+(Y62)</f>
        <v>0</v>
      </c>
      <c r="Z63" s="22">
        <f t="shared" si="24"/>
        <v>0</v>
      </c>
      <c r="AA63" s="22">
        <f t="shared" si="25"/>
        <v>3372</v>
      </c>
      <c r="AB63" s="21"/>
      <c r="AC63" s="21"/>
    </row>
    <row r="64" spans="1:29" x14ac:dyDescent="0.25">
      <c r="A64" s="14" t="s">
        <v>176</v>
      </c>
      <c r="B64" s="22">
        <f t="shared" ref="B64:Q64" si="27">(B60)+(B63)</f>
        <v>0</v>
      </c>
      <c r="C64" s="22">
        <f t="shared" si="27"/>
        <v>0</v>
      </c>
      <c r="D64" s="22">
        <f t="shared" si="27"/>
        <v>0</v>
      </c>
      <c r="E64" s="22">
        <f t="shared" si="27"/>
        <v>923</v>
      </c>
      <c r="F64" s="22">
        <f t="shared" si="27"/>
        <v>0</v>
      </c>
      <c r="G64" s="22">
        <f t="shared" si="27"/>
        <v>0</v>
      </c>
      <c r="H64" s="22">
        <f t="shared" si="27"/>
        <v>0</v>
      </c>
      <c r="I64" s="22">
        <f t="shared" si="27"/>
        <v>0</v>
      </c>
      <c r="J64" s="22">
        <f t="shared" si="27"/>
        <v>0</v>
      </c>
      <c r="K64" s="22">
        <f t="shared" si="27"/>
        <v>0</v>
      </c>
      <c r="L64" s="22">
        <f t="shared" si="27"/>
        <v>0</v>
      </c>
      <c r="M64" s="22">
        <f t="shared" si="27"/>
        <v>0</v>
      </c>
      <c r="N64" s="22">
        <f t="shared" si="27"/>
        <v>2449</v>
      </c>
      <c r="O64" s="22">
        <f t="shared" si="27"/>
        <v>0</v>
      </c>
      <c r="P64" s="22">
        <f t="shared" si="27"/>
        <v>0</v>
      </c>
      <c r="Q64" s="22">
        <f t="shared" si="27"/>
        <v>1.1399999999999999</v>
      </c>
      <c r="R64" s="22">
        <f t="shared" si="22"/>
        <v>1.1399999999999999</v>
      </c>
      <c r="S64" s="22">
        <f>(S60)+(S63)</f>
        <v>0</v>
      </c>
      <c r="T64" s="22">
        <f>(T60)+(T63)</f>
        <v>0</v>
      </c>
      <c r="U64" s="22">
        <f>(U60)+(U63)</f>
        <v>0</v>
      </c>
      <c r="V64" s="22">
        <f>(V60)+(V63)</f>
        <v>0</v>
      </c>
      <c r="W64" s="22">
        <f t="shared" si="23"/>
        <v>0</v>
      </c>
      <c r="X64" s="22">
        <f>(X60)+(X63)</f>
        <v>0</v>
      </c>
      <c r="Y64" s="22">
        <f>(Y60)+(Y63)</f>
        <v>0</v>
      </c>
      <c r="Z64" s="22">
        <f t="shared" si="24"/>
        <v>0</v>
      </c>
      <c r="AA64" s="22">
        <f t="shared" si="25"/>
        <v>3373.14</v>
      </c>
      <c r="AB64" s="21"/>
      <c r="AC64" s="21"/>
    </row>
    <row r="65" spans="1:29" x14ac:dyDescent="0.25">
      <c r="A65" s="14" t="s">
        <v>177</v>
      </c>
      <c r="B65" s="22">
        <f t="shared" ref="B65:Q65" si="28">(B64)-(0)</f>
        <v>0</v>
      </c>
      <c r="C65" s="22">
        <f t="shared" si="28"/>
        <v>0</v>
      </c>
      <c r="D65" s="22">
        <f t="shared" si="28"/>
        <v>0</v>
      </c>
      <c r="E65" s="22">
        <f t="shared" si="28"/>
        <v>923</v>
      </c>
      <c r="F65" s="22">
        <f t="shared" si="28"/>
        <v>0</v>
      </c>
      <c r="G65" s="22">
        <f t="shared" si="28"/>
        <v>0</v>
      </c>
      <c r="H65" s="22">
        <f t="shared" si="28"/>
        <v>0</v>
      </c>
      <c r="I65" s="22">
        <f t="shared" si="28"/>
        <v>0</v>
      </c>
      <c r="J65" s="22">
        <f t="shared" si="28"/>
        <v>0</v>
      </c>
      <c r="K65" s="22">
        <f t="shared" si="28"/>
        <v>0</v>
      </c>
      <c r="L65" s="22">
        <f t="shared" si="28"/>
        <v>0</v>
      </c>
      <c r="M65" s="22">
        <f t="shared" si="28"/>
        <v>0</v>
      </c>
      <c r="N65" s="22">
        <f t="shared" si="28"/>
        <v>2449</v>
      </c>
      <c r="O65" s="22">
        <f t="shared" si="28"/>
        <v>0</v>
      </c>
      <c r="P65" s="22">
        <f t="shared" si="28"/>
        <v>0</v>
      </c>
      <c r="Q65" s="22">
        <f t="shared" si="28"/>
        <v>1.1399999999999999</v>
      </c>
      <c r="R65" s="22">
        <f t="shared" si="22"/>
        <v>1.1399999999999999</v>
      </c>
      <c r="S65" s="22">
        <f>(S64)-(0)</f>
        <v>0</v>
      </c>
      <c r="T65" s="22">
        <f>(T64)-(0)</f>
        <v>0</v>
      </c>
      <c r="U65" s="22">
        <f>(U64)-(0)</f>
        <v>0</v>
      </c>
      <c r="V65" s="22">
        <f>(V64)-(0)</f>
        <v>0</v>
      </c>
      <c r="W65" s="22">
        <f t="shared" si="23"/>
        <v>0</v>
      </c>
      <c r="X65" s="22">
        <f>(X64)-(0)</f>
        <v>0</v>
      </c>
      <c r="Y65" s="22">
        <f>(Y64)-(0)</f>
        <v>0</v>
      </c>
      <c r="Z65" s="22">
        <f t="shared" si="24"/>
        <v>0</v>
      </c>
      <c r="AA65" s="22">
        <f t="shared" si="25"/>
        <v>3373.14</v>
      </c>
      <c r="AB65" s="21"/>
      <c r="AC65" s="21"/>
    </row>
    <row r="66" spans="1:29" x14ac:dyDescent="0.25">
      <c r="A66" s="14" t="s">
        <v>178</v>
      </c>
      <c r="B66" s="22">
        <f t="shared" ref="B66:Q66" si="29">(B58)+(B65)</f>
        <v>-5021.72</v>
      </c>
      <c r="C66" s="22">
        <f t="shared" si="29"/>
        <v>-10044.69</v>
      </c>
      <c r="D66" s="22">
        <f t="shared" si="29"/>
        <v>-5244.32</v>
      </c>
      <c r="E66" s="22">
        <f t="shared" si="29"/>
        <v>-261.32999999999993</v>
      </c>
      <c r="F66" s="22">
        <f t="shared" si="29"/>
        <v>-4774.9699999999993</v>
      </c>
      <c r="G66" s="22">
        <f t="shared" si="29"/>
        <v>-174</v>
      </c>
      <c r="H66" s="22">
        <f t="shared" si="29"/>
        <v>12157.350000000002</v>
      </c>
      <c r="I66" s="22">
        <f t="shared" si="29"/>
        <v>-5665.74</v>
      </c>
      <c r="J66" s="22">
        <f t="shared" si="29"/>
        <v>-5139.24</v>
      </c>
      <c r="K66" s="22">
        <f t="shared" si="29"/>
        <v>-8906.5</v>
      </c>
      <c r="L66" s="22">
        <f t="shared" si="29"/>
        <v>-5580.81</v>
      </c>
      <c r="M66" s="22">
        <f t="shared" si="29"/>
        <v>-3192.6499999999996</v>
      </c>
      <c r="N66" s="22">
        <f t="shared" si="29"/>
        <v>-1594.4399999999996</v>
      </c>
      <c r="O66" s="22">
        <f t="shared" si="29"/>
        <v>-10102.799999999999</v>
      </c>
      <c r="P66" s="22">
        <f t="shared" si="29"/>
        <v>0</v>
      </c>
      <c r="Q66" s="22">
        <f t="shared" si="29"/>
        <v>6406.4400000000005</v>
      </c>
      <c r="R66" s="22">
        <f t="shared" si="22"/>
        <v>6406.4400000000005</v>
      </c>
      <c r="S66" s="22">
        <f>(S58)+(S65)</f>
        <v>-2452.1</v>
      </c>
      <c r="T66" s="22">
        <f>(T58)+(T65)</f>
        <v>-2806.2400000000002</v>
      </c>
      <c r="U66" s="22">
        <f>(U58)+(U65)</f>
        <v>-2844.2999999999997</v>
      </c>
      <c r="V66" s="22">
        <f>(V58)+(V65)</f>
        <v>-433.62</v>
      </c>
      <c r="W66" s="22">
        <f t="shared" si="23"/>
        <v>-3277.9199999999996</v>
      </c>
      <c r="X66" s="22">
        <f>(X58)+(X65)</f>
        <v>-4978.9600000000009</v>
      </c>
      <c r="Y66" s="22">
        <f>(Y58)+(Y65)</f>
        <v>-433.62</v>
      </c>
      <c r="Z66" s="22">
        <f t="shared" si="24"/>
        <v>-5412.5800000000008</v>
      </c>
      <c r="AA66" s="22">
        <f t="shared" si="25"/>
        <v>-61088.259999999995</v>
      </c>
      <c r="AB66" s="21"/>
      <c r="AC66" s="21"/>
    </row>
    <row r="67" spans="1:29" s="17" customFormat="1" ht="11.25" x14ac:dyDescent="0.2">
      <c r="A67" s="16" t="s">
        <v>179</v>
      </c>
      <c r="B67" s="23">
        <v>27868.68</v>
      </c>
      <c r="C67" s="23">
        <v>6296.85</v>
      </c>
      <c r="D67" s="23">
        <v>10460.15</v>
      </c>
      <c r="E67" s="23">
        <v>7674.46</v>
      </c>
      <c r="F67" s="23">
        <v>8750.7099999999991</v>
      </c>
      <c r="G67" s="23">
        <v>315.22000000000003</v>
      </c>
      <c r="H67" s="23">
        <v>-16692.740000000002</v>
      </c>
      <c r="I67" s="23">
        <v>1723.48</v>
      </c>
      <c r="J67" s="23">
        <v>2107.48</v>
      </c>
      <c r="K67" s="23">
        <v>12973.49</v>
      </c>
      <c r="L67" s="23">
        <v>10278.459999999999</v>
      </c>
      <c r="M67" s="23">
        <v>298.86</v>
      </c>
      <c r="N67" s="23">
        <v>2697.25</v>
      </c>
      <c r="O67" s="23">
        <v>8931.41</v>
      </c>
      <c r="P67" s="23"/>
      <c r="Q67" s="23"/>
      <c r="R67" s="23"/>
      <c r="S67" s="23">
        <v>9996.6200000000008</v>
      </c>
      <c r="T67" s="23">
        <v>501.72</v>
      </c>
      <c r="U67" s="23">
        <v>7145.28</v>
      </c>
      <c r="V67" s="23">
        <v>7366.49</v>
      </c>
      <c r="W67" s="23"/>
      <c r="X67" s="23">
        <v>4432.0600000000004</v>
      </c>
      <c r="Y67" s="23">
        <v>3071.78</v>
      </c>
      <c r="Z67" s="23"/>
      <c r="AA67" s="23"/>
      <c r="AB67" s="24"/>
      <c r="AC67" s="24"/>
    </row>
    <row r="68" spans="1:29" s="17" customFormat="1" ht="11.25" x14ac:dyDescent="0.2">
      <c r="A68" s="18" t="s">
        <v>180</v>
      </c>
      <c r="B68" s="24">
        <f>B43</f>
        <v>5021.72</v>
      </c>
      <c r="C68" s="24">
        <f>C45</f>
        <v>10044.69</v>
      </c>
      <c r="D68" s="24">
        <f>D43</f>
        <v>5139.24</v>
      </c>
      <c r="E68" s="24">
        <f>E44</f>
        <v>2371</v>
      </c>
      <c r="F68" s="24">
        <f>0</f>
        <v>0</v>
      </c>
      <c r="G68" s="24">
        <f>0</f>
        <v>0</v>
      </c>
      <c r="H68" s="24">
        <f>H43</f>
        <v>3213.64</v>
      </c>
      <c r="I68" s="24">
        <f>I43</f>
        <v>5665.74</v>
      </c>
      <c r="J68" s="24">
        <f>J43</f>
        <v>5139.24</v>
      </c>
      <c r="K68" s="24">
        <f>K43/2</f>
        <v>4053.25</v>
      </c>
      <c r="L68" s="24">
        <f>L43</f>
        <v>5580.81</v>
      </c>
      <c r="M68" s="24">
        <f>M43+M40</f>
        <v>3192.6499999999996</v>
      </c>
      <c r="N68" s="24">
        <f>N43</f>
        <v>2569.61</v>
      </c>
      <c r="O68" s="24">
        <f>O43</f>
        <v>10102.799999999999</v>
      </c>
      <c r="P68" s="24"/>
      <c r="Q68" s="24"/>
      <c r="R68" s="24"/>
      <c r="S68" s="24">
        <f>S43</f>
        <v>2452.1</v>
      </c>
      <c r="T68" s="24">
        <f>T43</f>
        <v>2569.61</v>
      </c>
      <c r="U68" s="24">
        <f>U43</f>
        <v>2967.29</v>
      </c>
      <c r="V68" s="24">
        <f>0</f>
        <v>0</v>
      </c>
      <c r="W68" s="24"/>
      <c r="X68" s="24">
        <f>X43</f>
        <v>2967.26</v>
      </c>
      <c r="Y68" s="24">
        <v>0</v>
      </c>
      <c r="Z68" s="24"/>
      <c r="AA68" s="24"/>
      <c r="AB68" s="24"/>
      <c r="AC68" s="24"/>
    </row>
    <row r="69" spans="1:29" s="17" customFormat="1" ht="11.25" x14ac:dyDescent="0.2">
      <c r="A69" s="18" t="s">
        <v>181</v>
      </c>
      <c r="B69" s="24">
        <f>B66+B68</f>
        <v>0</v>
      </c>
      <c r="C69" s="24">
        <f t="shared" ref="C69:M69" si="30">C66+C68</f>
        <v>0</v>
      </c>
      <c r="D69" s="24">
        <f t="shared" si="30"/>
        <v>-105.07999999999993</v>
      </c>
      <c r="E69" s="24">
        <f t="shared" si="30"/>
        <v>2109.67</v>
      </c>
      <c r="F69" s="24">
        <f t="shared" si="30"/>
        <v>-4774.9699999999993</v>
      </c>
      <c r="G69" s="24">
        <f t="shared" si="30"/>
        <v>-174</v>
      </c>
      <c r="H69" s="24">
        <f t="shared" si="30"/>
        <v>15370.990000000002</v>
      </c>
      <c r="I69" s="24">
        <f t="shared" si="30"/>
        <v>0</v>
      </c>
      <c r="J69" s="24">
        <f t="shared" si="30"/>
        <v>0</v>
      </c>
      <c r="K69" s="24">
        <f t="shared" si="30"/>
        <v>-4853.25</v>
      </c>
      <c r="L69" s="24">
        <f t="shared" si="30"/>
        <v>0</v>
      </c>
      <c r="M69" s="24">
        <f t="shared" si="30"/>
        <v>0</v>
      </c>
      <c r="N69" s="24">
        <f t="shared" ref="N69" si="31">N66+N68</f>
        <v>975.17000000000053</v>
      </c>
      <c r="O69" s="24">
        <f t="shared" ref="O69" si="32">O66+O68</f>
        <v>0</v>
      </c>
      <c r="P69" s="24"/>
      <c r="Q69" s="24"/>
      <c r="R69" s="24"/>
      <c r="S69" s="24">
        <f t="shared" ref="S69" si="33">S66+S68</f>
        <v>0</v>
      </c>
      <c r="T69" s="24">
        <f t="shared" ref="T69" si="34">T66+T68</f>
        <v>-236.63000000000011</v>
      </c>
      <c r="U69" s="24">
        <f t="shared" ref="U69" si="35">U66+U68</f>
        <v>122.99000000000024</v>
      </c>
      <c r="V69" s="24">
        <f t="shared" ref="V69" si="36">V66+V68</f>
        <v>-433.62</v>
      </c>
      <c r="W69" s="24"/>
      <c r="X69" s="24">
        <f t="shared" ref="X69" si="37">X66+X68</f>
        <v>-2011.7000000000007</v>
      </c>
      <c r="Y69" s="24">
        <f t="shared" ref="Y69" si="38">Y66+Y68</f>
        <v>-433.62</v>
      </c>
      <c r="Z69" s="24"/>
      <c r="AA69" s="24"/>
      <c r="AB69" s="24"/>
      <c r="AC69" s="24"/>
    </row>
    <row r="70" spans="1:29" s="17" customFormat="1" ht="11.25" x14ac:dyDescent="0.2">
      <c r="A70" s="18" t="s">
        <v>182</v>
      </c>
      <c r="B70" s="24">
        <f>B69+B67</f>
        <v>27868.68</v>
      </c>
      <c r="C70" s="24">
        <f t="shared" ref="C70:M70" si="39">C69+C67</f>
        <v>6296.85</v>
      </c>
      <c r="D70" s="24">
        <f t="shared" si="39"/>
        <v>10355.07</v>
      </c>
      <c r="E70" s="24">
        <f t="shared" si="39"/>
        <v>9784.130000000001</v>
      </c>
      <c r="F70" s="24">
        <f t="shared" si="39"/>
        <v>3975.74</v>
      </c>
      <c r="G70" s="24">
        <f t="shared" si="39"/>
        <v>141.22000000000003</v>
      </c>
      <c r="H70" s="24">
        <f t="shared" si="39"/>
        <v>-1321.75</v>
      </c>
      <c r="I70" s="24">
        <f t="shared" si="39"/>
        <v>1723.48</v>
      </c>
      <c r="J70" s="24">
        <f t="shared" si="39"/>
        <v>2107.48</v>
      </c>
      <c r="K70" s="24">
        <f t="shared" si="39"/>
        <v>8120.24</v>
      </c>
      <c r="L70" s="24">
        <f t="shared" si="39"/>
        <v>10278.459999999999</v>
      </c>
      <c r="M70" s="24">
        <f t="shared" si="39"/>
        <v>298.86</v>
      </c>
      <c r="N70" s="24">
        <f t="shared" ref="N70" si="40">N69+N67</f>
        <v>3672.4200000000005</v>
      </c>
      <c r="O70" s="24">
        <f t="shared" ref="O70" si="41">O69+O67</f>
        <v>8931.41</v>
      </c>
      <c r="P70" s="24"/>
      <c r="Q70" s="24"/>
      <c r="R70" s="24"/>
      <c r="S70" s="24">
        <f t="shared" ref="S70" si="42">S69+S67</f>
        <v>9996.6200000000008</v>
      </c>
      <c r="T70" s="24">
        <f t="shared" ref="T70" si="43">T69+T67</f>
        <v>265.08999999999992</v>
      </c>
      <c r="U70" s="24">
        <f t="shared" ref="U70" si="44">U69+U67</f>
        <v>7268.27</v>
      </c>
      <c r="V70" s="24">
        <f t="shared" ref="V70" si="45">V69+V67</f>
        <v>6932.87</v>
      </c>
      <c r="W70" s="24"/>
      <c r="X70" s="24">
        <f t="shared" ref="X70" si="46">X69+X67</f>
        <v>2420.3599999999997</v>
      </c>
      <c r="Y70" s="24">
        <f t="shared" ref="Y70" si="47">Y69+Y67</f>
        <v>2638.1600000000003</v>
      </c>
      <c r="Z70" s="24"/>
      <c r="AA70" s="24"/>
      <c r="AB70" s="24"/>
      <c r="AC70" s="24"/>
    </row>
  </sheetData>
  <mergeCells count="3">
    <mergeCell ref="A1:AA1"/>
    <mergeCell ref="A2:AA2"/>
    <mergeCell ref="A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Balances 9.30.25</vt:lpstr>
      <vt:lpstr>Statement of Activity FY</vt:lpstr>
      <vt:lpstr>Stmt of Activity - Sept</vt:lpstr>
      <vt:lpstr>Stmt of Activity - by Sport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Marconi Avenue Chiro</cp:lastModifiedBy>
  <dcterms:created xsi:type="dcterms:W3CDTF">2022-03-24T08:55:57Z</dcterms:created>
  <dcterms:modified xsi:type="dcterms:W3CDTF">2025-10-09T22:00:07Z</dcterms:modified>
  <cp:category/>
</cp:coreProperties>
</file>