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\Documents\RAAB\RAAB Pres\"/>
    </mc:Choice>
  </mc:AlternateContent>
  <xr:revisionPtr revIDLastSave="0" documentId="8_{72F63531-1CF5-4BB3-B849-741A81AF2DD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Account Balances 8.31.25" sheetId="5" r:id="rId1"/>
    <sheet name="Statement of Activity FY" sheetId="1" r:id="rId2"/>
    <sheet name="Stmt of Activity - August" sheetId="2" r:id="rId3"/>
    <sheet name="Stmt of Activity by Spor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5" l="1"/>
  <c r="B64" i="5"/>
  <c r="B69" i="5" s="1"/>
  <c r="B70" i="5" s="1"/>
  <c r="B73" i="5" s="1"/>
  <c r="B32" i="5"/>
  <c r="B33" i="5" s="1"/>
  <c r="B35" i="5" s="1"/>
  <c r="B74" i="5" s="1"/>
  <c r="B18" i="5"/>
  <c r="B21" i="5" s="1"/>
  <c r="B24" i="5" s="1"/>
  <c r="B16" i="5"/>
  <c r="C66" i="3"/>
  <c r="D66" i="3"/>
  <c r="D67" i="3" s="1"/>
  <c r="E66" i="3"/>
  <c r="E67" i="3" s="1"/>
  <c r="F66" i="3"/>
  <c r="F67" i="3" s="1"/>
  <c r="G66" i="3"/>
  <c r="G67" i="3" s="1"/>
  <c r="H66" i="3"/>
  <c r="H67" i="3" s="1"/>
  <c r="I66" i="3"/>
  <c r="I67" i="3" s="1"/>
  <c r="J66" i="3"/>
  <c r="J67" i="3" s="1"/>
  <c r="N66" i="3"/>
  <c r="N67" i="3" s="1"/>
  <c r="O66" i="3"/>
  <c r="O67" i="3" s="1"/>
  <c r="P66" i="3"/>
  <c r="P67" i="3" s="1"/>
  <c r="C67" i="3"/>
  <c r="B67" i="3"/>
  <c r="B66" i="3"/>
  <c r="J61" i="3"/>
  <c r="J62" i="3" s="1"/>
  <c r="P60" i="3"/>
  <c r="P61" i="3" s="1"/>
  <c r="P62" i="3" s="1"/>
  <c r="O60" i="3"/>
  <c r="O61" i="3" s="1"/>
  <c r="O62" i="3" s="1"/>
  <c r="N60" i="3"/>
  <c r="N61" i="3" s="1"/>
  <c r="N62" i="3" s="1"/>
  <c r="L60" i="3"/>
  <c r="M60" i="3" s="1"/>
  <c r="K60" i="3"/>
  <c r="K61" i="3" s="1"/>
  <c r="J60" i="3"/>
  <c r="I60" i="3"/>
  <c r="I61" i="3" s="1"/>
  <c r="I62" i="3" s="1"/>
  <c r="H60" i="3"/>
  <c r="H61" i="3" s="1"/>
  <c r="H62" i="3" s="1"/>
  <c r="G60" i="3"/>
  <c r="G61" i="3" s="1"/>
  <c r="G62" i="3" s="1"/>
  <c r="F60" i="3"/>
  <c r="F61" i="3" s="1"/>
  <c r="F62" i="3" s="1"/>
  <c r="E60" i="3"/>
  <c r="E61" i="3" s="1"/>
  <c r="E62" i="3" s="1"/>
  <c r="B60" i="3"/>
  <c r="B61" i="3" s="1"/>
  <c r="B62" i="3" s="1"/>
  <c r="M59" i="3"/>
  <c r="D59" i="3"/>
  <c r="C59" i="3"/>
  <c r="C60" i="3" s="1"/>
  <c r="M58" i="3"/>
  <c r="D58" i="3"/>
  <c r="L57" i="3"/>
  <c r="P53" i="3"/>
  <c r="O53" i="3"/>
  <c r="N53" i="3"/>
  <c r="L53" i="3"/>
  <c r="K53" i="3"/>
  <c r="M53" i="3" s="1"/>
  <c r="J53" i="3"/>
  <c r="I53" i="3"/>
  <c r="H53" i="3"/>
  <c r="G53" i="3"/>
  <c r="E53" i="3"/>
  <c r="D53" i="3"/>
  <c r="C53" i="3"/>
  <c r="B53" i="3"/>
  <c r="M52" i="3"/>
  <c r="F52" i="3"/>
  <c r="Q52" i="3" s="1"/>
  <c r="M51" i="3"/>
  <c r="F51" i="3"/>
  <c r="Q51" i="3" s="1"/>
  <c r="M50" i="3"/>
  <c r="Q50" i="3" s="1"/>
  <c r="P48" i="3"/>
  <c r="O48" i="3"/>
  <c r="N48" i="3"/>
  <c r="M48" i="3"/>
  <c r="D48" i="3"/>
  <c r="B48" i="3"/>
  <c r="Q48" i="3" s="1"/>
  <c r="P47" i="3"/>
  <c r="O47" i="3"/>
  <c r="O49" i="3" s="1"/>
  <c r="N47" i="3"/>
  <c r="L47" i="3"/>
  <c r="K47" i="3"/>
  <c r="M47" i="3" s="1"/>
  <c r="J47" i="3"/>
  <c r="H47" i="3"/>
  <c r="G47" i="3"/>
  <c r="D47" i="3"/>
  <c r="C47" i="3"/>
  <c r="B47" i="3"/>
  <c r="N46" i="3"/>
  <c r="M46" i="3"/>
  <c r="I46" i="3"/>
  <c r="I47" i="3" s="1"/>
  <c r="F46" i="3"/>
  <c r="M45" i="3"/>
  <c r="E45" i="3"/>
  <c r="E47" i="3" s="1"/>
  <c r="M44" i="3"/>
  <c r="D44" i="3"/>
  <c r="B44" i="3"/>
  <c r="M43" i="3"/>
  <c r="F43" i="3"/>
  <c r="Q43" i="3" s="1"/>
  <c r="P42" i="3"/>
  <c r="P49" i="3" s="1"/>
  <c r="P54" i="3" s="1"/>
  <c r="O42" i="3"/>
  <c r="N42" i="3"/>
  <c r="L42" i="3"/>
  <c r="L49" i="3" s="1"/>
  <c r="K42" i="3"/>
  <c r="K49" i="3" s="1"/>
  <c r="J42" i="3"/>
  <c r="I42" i="3"/>
  <c r="H42" i="3"/>
  <c r="F42" i="3"/>
  <c r="E42" i="3"/>
  <c r="D42" i="3"/>
  <c r="D49" i="3" s="1"/>
  <c r="D54" i="3" s="1"/>
  <c r="B42" i="3"/>
  <c r="M41" i="3"/>
  <c r="C41" i="3"/>
  <c r="C42" i="3" s="1"/>
  <c r="M40" i="3"/>
  <c r="Q40" i="3" s="1"/>
  <c r="G40" i="3"/>
  <c r="G42" i="3" s="1"/>
  <c r="M39" i="3"/>
  <c r="F39" i="3"/>
  <c r="C39" i="3"/>
  <c r="Q39" i="3" s="1"/>
  <c r="M38" i="3"/>
  <c r="Q38" i="3" s="1"/>
  <c r="I38" i="3"/>
  <c r="N37" i="3"/>
  <c r="M37" i="3"/>
  <c r="F37" i="3"/>
  <c r="Q37" i="3" s="1"/>
  <c r="M36" i="3"/>
  <c r="J36" i="3"/>
  <c r="J49" i="3" s="1"/>
  <c r="I36" i="3"/>
  <c r="Q36" i="3" s="1"/>
  <c r="M35" i="3"/>
  <c r="F35" i="3"/>
  <c r="M34" i="3"/>
  <c r="I34" i="3"/>
  <c r="H34" i="3"/>
  <c r="H49" i="3" s="1"/>
  <c r="F34" i="3"/>
  <c r="C34" i="3"/>
  <c r="M33" i="3"/>
  <c r="Q33" i="3" s="1"/>
  <c r="P32" i="3"/>
  <c r="O32" i="3"/>
  <c r="N32" i="3"/>
  <c r="K32" i="3"/>
  <c r="J32" i="3"/>
  <c r="I32" i="3"/>
  <c r="H32" i="3"/>
  <c r="G32" i="3"/>
  <c r="F32" i="3"/>
  <c r="E32" i="3"/>
  <c r="D32" i="3"/>
  <c r="C32" i="3"/>
  <c r="B32" i="3"/>
  <c r="L31" i="3"/>
  <c r="M31" i="3" s="1"/>
  <c r="Q31" i="3" s="1"/>
  <c r="M30" i="3"/>
  <c r="Q30" i="3" s="1"/>
  <c r="L30" i="3"/>
  <c r="M29" i="3"/>
  <c r="Q29" i="3" s="1"/>
  <c r="P28" i="3"/>
  <c r="O28" i="3"/>
  <c r="N28" i="3"/>
  <c r="K28" i="3"/>
  <c r="J28" i="3"/>
  <c r="I28" i="3"/>
  <c r="H28" i="3"/>
  <c r="G28" i="3"/>
  <c r="F28" i="3"/>
  <c r="E28" i="3"/>
  <c r="D28" i="3"/>
  <c r="C28" i="3"/>
  <c r="B28" i="3"/>
  <c r="L27" i="3"/>
  <c r="M27" i="3" s="1"/>
  <c r="Q27" i="3" s="1"/>
  <c r="M26" i="3"/>
  <c r="Q26" i="3" s="1"/>
  <c r="L26" i="3"/>
  <c r="L25" i="3"/>
  <c r="M25" i="3" s="1"/>
  <c r="Q25" i="3" s="1"/>
  <c r="L24" i="3"/>
  <c r="M24" i="3" s="1"/>
  <c r="Q24" i="3" s="1"/>
  <c r="L20" i="3"/>
  <c r="K20" i="3"/>
  <c r="M20" i="3" s="1"/>
  <c r="J20" i="3"/>
  <c r="P19" i="3"/>
  <c r="P20" i="3" s="1"/>
  <c r="O19" i="3"/>
  <c r="O20" i="3" s="1"/>
  <c r="N19" i="3"/>
  <c r="L19" i="3"/>
  <c r="K19" i="3"/>
  <c r="M19" i="3" s="1"/>
  <c r="J19" i="3"/>
  <c r="I19" i="3"/>
  <c r="I20" i="3" s="1"/>
  <c r="H19" i="3"/>
  <c r="H20" i="3" s="1"/>
  <c r="G19" i="3"/>
  <c r="G20" i="3" s="1"/>
  <c r="G21" i="3" s="1"/>
  <c r="G22" i="3" s="1"/>
  <c r="E19" i="3"/>
  <c r="E20" i="3" s="1"/>
  <c r="E21" i="3" s="1"/>
  <c r="E22" i="3" s="1"/>
  <c r="D19" i="3"/>
  <c r="D20" i="3" s="1"/>
  <c r="C19" i="3"/>
  <c r="B19" i="3"/>
  <c r="B20" i="3" s="1"/>
  <c r="M18" i="3"/>
  <c r="F18" i="3"/>
  <c r="F19" i="3" s="1"/>
  <c r="F20" i="3" s="1"/>
  <c r="F21" i="3" s="1"/>
  <c r="F22" i="3" s="1"/>
  <c r="M17" i="3"/>
  <c r="Q17" i="3" s="1"/>
  <c r="N16" i="3"/>
  <c r="N20" i="3" s="1"/>
  <c r="M16" i="3"/>
  <c r="Q16" i="3" s="1"/>
  <c r="M15" i="3"/>
  <c r="C15" i="3"/>
  <c r="M14" i="3"/>
  <c r="C14" i="3"/>
  <c r="M13" i="3"/>
  <c r="Q13" i="3" s="1"/>
  <c r="P12" i="3"/>
  <c r="P21" i="3" s="1"/>
  <c r="P22" i="3" s="1"/>
  <c r="O12" i="3"/>
  <c r="N12" i="3"/>
  <c r="K12" i="3"/>
  <c r="J12" i="3"/>
  <c r="I12" i="3"/>
  <c r="H12" i="3"/>
  <c r="G12" i="3"/>
  <c r="F12" i="3"/>
  <c r="E12" i="3"/>
  <c r="D12" i="3"/>
  <c r="D21" i="3" s="1"/>
  <c r="D22" i="3" s="1"/>
  <c r="C12" i="3"/>
  <c r="B12" i="3"/>
  <c r="B21" i="3" s="1"/>
  <c r="L11" i="3"/>
  <c r="M11" i="3" s="1"/>
  <c r="Q11" i="3" s="1"/>
  <c r="L10" i="3"/>
  <c r="M10" i="3" s="1"/>
  <c r="Q10" i="3" s="1"/>
  <c r="L9" i="3"/>
  <c r="M9" i="3" s="1"/>
  <c r="Q9" i="3" s="1"/>
  <c r="L8" i="3"/>
  <c r="M8" i="3" s="1"/>
  <c r="Q8" i="3" s="1"/>
  <c r="M7" i="3"/>
  <c r="Q7" i="3" s="1"/>
  <c r="B61" i="2"/>
  <c r="B62" i="2" s="1"/>
  <c r="B64" i="2" s="1"/>
  <c r="B54" i="2"/>
  <c r="B48" i="2"/>
  <c r="B43" i="2"/>
  <c r="B50" i="2" s="1"/>
  <c r="B33" i="2"/>
  <c r="B29" i="2"/>
  <c r="B19" i="2"/>
  <c r="B20" i="2" s="1"/>
  <c r="B12" i="2"/>
  <c r="B78" i="1"/>
  <c r="B79" i="1" s="1"/>
  <c r="B81" i="1" s="1"/>
  <c r="B71" i="1"/>
  <c r="B65" i="1"/>
  <c r="B58" i="1"/>
  <c r="B67" i="1" s="1"/>
  <c r="B48" i="1"/>
  <c r="B43" i="1"/>
  <c r="B72" i="1" s="1"/>
  <c r="B33" i="1"/>
  <c r="B28" i="1"/>
  <c r="B23" i="1"/>
  <c r="B34" i="1" s="1"/>
  <c r="B14" i="1"/>
  <c r="B35" i="1" s="1"/>
  <c r="B37" i="1" s="1"/>
  <c r="B73" i="1" s="1"/>
  <c r="K54" i="3" l="1"/>
  <c r="K21" i="3"/>
  <c r="K22" i="3" s="1"/>
  <c r="B49" i="3"/>
  <c r="B54" i="3" s="1"/>
  <c r="H21" i="3"/>
  <c r="H22" i="3" s="1"/>
  <c r="G55" i="3"/>
  <c r="G63" i="3" s="1"/>
  <c r="N49" i="3"/>
  <c r="N54" i="3" s="1"/>
  <c r="Q18" i="3"/>
  <c r="Q34" i="3"/>
  <c r="E49" i="3"/>
  <c r="Q44" i="3"/>
  <c r="Q59" i="3"/>
  <c r="P55" i="3"/>
  <c r="P63" i="3" s="1"/>
  <c r="C21" i="3"/>
  <c r="C22" i="3" s="1"/>
  <c r="D55" i="3"/>
  <c r="I21" i="3"/>
  <c r="I22" i="3" s="1"/>
  <c r="J21" i="3"/>
  <c r="J22" i="3" s="1"/>
  <c r="Q14" i="3"/>
  <c r="Q35" i="3"/>
  <c r="Q45" i="3"/>
  <c r="D60" i="3"/>
  <c r="D61" i="3" s="1"/>
  <c r="D62" i="3" s="1"/>
  <c r="H54" i="3"/>
  <c r="L61" i="3"/>
  <c r="L62" i="3" s="1"/>
  <c r="M57" i="3"/>
  <c r="Q57" i="3" s="1"/>
  <c r="C20" i="3"/>
  <c r="G49" i="3"/>
  <c r="G54" i="3" s="1"/>
  <c r="M42" i="3"/>
  <c r="Q42" i="3" s="1"/>
  <c r="Q46" i="3"/>
  <c r="Q28" i="3"/>
  <c r="C49" i="3"/>
  <c r="E55" i="3"/>
  <c r="E63" i="3" s="1"/>
  <c r="Q60" i="3"/>
  <c r="C61" i="3"/>
  <c r="C62" i="3" s="1"/>
  <c r="J55" i="3"/>
  <c r="J63" i="3" s="1"/>
  <c r="N21" i="3"/>
  <c r="N22" i="3" s="1"/>
  <c r="J54" i="3"/>
  <c r="O21" i="3"/>
  <c r="O22" i="3" s="1"/>
  <c r="M28" i="3"/>
  <c r="Q20" i="3"/>
  <c r="C55" i="3"/>
  <c r="O54" i="3"/>
  <c r="I49" i="3"/>
  <c r="I54" i="3" s="1"/>
  <c r="I55" i="3" s="1"/>
  <c r="I63" i="3" s="1"/>
  <c r="B22" i="3"/>
  <c r="D63" i="3"/>
  <c r="C54" i="3"/>
  <c r="M49" i="3"/>
  <c r="K62" i="3"/>
  <c r="L28" i="3"/>
  <c r="L32" i="3"/>
  <c r="M32" i="3" s="1"/>
  <c r="Q32" i="3" s="1"/>
  <c r="L12" i="3"/>
  <c r="L21" i="3" s="1"/>
  <c r="L22" i="3" s="1"/>
  <c r="F53" i="3"/>
  <c r="Q53" i="3" s="1"/>
  <c r="M12" i="3"/>
  <c r="Q12" i="3" s="1"/>
  <c r="Q15" i="3"/>
  <c r="Q19" i="3"/>
  <c r="Q41" i="3"/>
  <c r="F47" i="3"/>
  <c r="F49" i="3" s="1"/>
  <c r="Q58" i="3"/>
  <c r="E54" i="3"/>
  <c r="B21" i="2"/>
  <c r="B23" i="2" s="1"/>
  <c r="B55" i="2"/>
  <c r="B82" i="1"/>
  <c r="M62" i="3" l="1"/>
  <c r="Q62" i="3" s="1"/>
  <c r="O55" i="3"/>
  <c r="O63" i="3" s="1"/>
  <c r="H55" i="3"/>
  <c r="H63" i="3" s="1"/>
  <c r="C63" i="3"/>
  <c r="Q61" i="3"/>
  <c r="M61" i="3"/>
  <c r="N55" i="3"/>
  <c r="N63" i="3" s="1"/>
  <c r="F54" i="3"/>
  <c r="F55" i="3" s="1"/>
  <c r="F63" i="3" s="1"/>
  <c r="Q49" i="3"/>
  <c r="Q47" i="3"/>
  <c r="B55" i="3"/>
  <c r="M22" i="3"/>
  <c r="Q22" i="3" s="1"/>
  <c r="K55" i="3"/>
  <c r="L54" i="3"/>
  <c r="M54" i="3" s="1"/>
  <c r="M21" i="3"/>
  <c r="Q21" i="3" s="1"/>
  <c r="B56" i="2"/>
  <c r="B65" i="2" s="1"/>
  <c r="Q54" i="3" l="1"/>
  <c r="K63" i="3"/>
  <c r="B63" i="3"/>
  <c r="L55" i="3"/>
  <c r="L63" i="3" s="1"/>
  <c r="M63" i="3" l="1"/>
  <c r="Q63" i="3"/>
  <c r="M55" i="3"/>
  <c r="Q55" i="3" s="1"/>
</calcChain>
</file>

<file path=xl/sharedStrings.xml><?xml version="1.0" encoding="utf-8"?>
<sst xmlns="http://schemas.openxmlformats.org/spreadsheetml/2006/main" count="307" uniqueCount="223">
  <si>
    <t>Statement of Activity</t>
  </si>
  <si>
    <t>Rio Americano Athletic Boosters, Inc.</t>
  </si>
  <si>
    <t>June 1-August 31, 2025</t>
  </si>
  <si>
    <t>Income</t>
  </si>
  <si>
    <t>General Fundraising Income</t>
  </si>
  <si>
    <t>Accrued Investment Income</t>
  </si>
  <si>
    <t>Banner Advertising - RAAB General Fund</t>
  </si>
  <si>
    <t>Firework Booth</t>
  </si>
  <si>
    <t>General Fund Donations</t>
  </si>
  <si>
    <t>Legacy brick sales</t>
  </si>
  <si>
    <t>Membership</t>
  </si>
  <si>
    <t>Total for General Fundraising Income</t>
  </si>
  <si>
    <t>Team Fundraising Income</t>
  </si>
  <si>
    <t>Banner Advertising - Team Designated</t>
  </si>
  <si>
    <t>Cheer Summer Program</t>
  </si>
  <si>
    <t>Cookie Dough Sales</t>
  </si>
  <si>
    <t>Designated Sport Donation</t>
  </si>
  <si>
    <t>Football Golf Tournament</t>
  </si>
  <si>
    <t>Fundraising Program</t>
  </si>
  <si>
    <t>Vertical Raise Trust</t>
  </si>
  <si>
    <t>Total for Fundraising Program</t>
  </si>
  <si>
    <t>Snack Bar Income</t>
  </si>
  <si>
    <t>B. Basketball Snack Bar Income</t>
  </si>
  <si>
    <t>Boys Volleyball Snack Bar Income</t>
  </si>
  <si>
    <t>Football Snack Bar Income</t>
  </si>
  <si>
    <t>Total for Snack Bar Income</t>
  </si>
  <si>
    <t>Summer Camp Fundraiser</t>
  </si>
  <si>
    <t>Summer Program Income</t>
  </si>
  <si>
    <t>Tournament Income</t>
  </si>
  <si>
    <t>Swim Invitational Income</t>
  </si>
  <si>
    <t>Total for Tournament Income</t>
  </si>
  <si>
    <t>Total for Team Fundraising Income</t>
  </si>
  <si>
    <t>Total for Income</t>
  </si>
  <si>
    <t>Cost of Goods Sold</t>
  </si>
  <si>
    <t>Gross Profit</t>
  </si>
  <si>
    <t>Expenses</t>
  </si>
  <si>
    <t>Administrative Expenses</t>
  </si>
  <si>
    <t>HUDL</t>
  </si>
  <si>
    <t>Postage</t>
  </si>
  <si>
    <t>Technology</t>
  </si>
  <si>
    <t>Total for Administrative Expenses</t>
  </si>
  <si>
    <t>General Fundraising Expenses</t>
  </si>
  <si>
    <t>Banner Expense - General</t>
  </si>
  <si>
    <t>Fireworks Booth</t>
  </si>
  <si>
    <t>Hall of Fame Expense</t>
  </si>
  <si>
    <t>Total for General Fundraising Expenses</t>
  </si>
  <si>
    <t>Sports Team Expenses</t>
  </si>
  <si>
    <t>Athletic Equipment</t>
  </si>
  <si>
    <t>Capital Equipment</t>
  </si>
  <si>
    <t>Coaches Apparel</t>
  </si>
  <si>
    <t>Coach Training/Certifications</t>
  </si>
  <si>
    <t>Field Maintenance</t>
  </si>
  <si>
    <t>General Programs Expense</t>
  </si>
  <si>
    <t>Stipends</t>
  </si>
  <si>
    <t>Direct Pay (1099)</t>
  </si>
  <si>
    <t>Total for Stipends</t>
  </si>
  <si>
    <t>Team Awards/Celebration</t>
  </si>
  <si>
    <t>Team Camps</t>
  </si>
  <si>
    <t>Team Meals</t>
  </si>
  <si>
    <t>Team Travel</t>
  </si>
  <si>
    <t>Team Uniforms</t>
  </si>
  <si>
    <t>Player Packs</t>
  </si>
  <si>
    <t>Total for Team Uniforms</t>
  </si>
  <si>
    <t>Tournament Fees</t>
  </si>
  <si>
    <t>Total for Sports Team Expenses</t>
  </si>
  <si>
    <t>Team Fundraising Expenses</t>
  </si>
  <si>
    <t>Snack Bar Expense</t>
  </si>
  <si>
    <t>Total for Team Fundraising Expenses</t>
  </si>
  <si>
    <t>Total for Expenses</t>
  </si>
  <si>
    <t>Net Operating Income</t>
  </si>
  <si>
    <t>Other Income</t>
  </si>
  <si>
    <t>Interest Income</t>
  </si>
  <si>
    <t>Pass-Through Income</t>
  </si>
  <si>
    <t>Total for Pass-Through Income</t>
  </si>
  <si>
    <t>Total for Other Income</t>
  </si>
  <si>
    <t>Other Expenses</t>
  </si>
  <si>
    <t>Net Other Income</t>
  </si>
  <si>
    <t>Net Income</t>
  </si>
  <si>
    <t>Distribution account</t>
  </si>
  <si>
    <t>Total</t>
  </si>
  <si>
    <t>August 2025</t>
  </si>
  <si>
    <t>Baseball</t>
  </si>
  <si>
    <t>Basketball - Boys</t>
  </si>
  <si>
    <t>Basketball - Girls</t>
  </si>
  <si>
    <t>Cheer</t>
  </si>
  <si>
    <t>Cross Country</t>
  </si>
  <si>
    <t>Field of Dreams</t>
  </si>
  <si>
    <t>Flag Football</t>
  </si>
  <si>
    <t>Football</t>
  </si>
  <si>
    <t>Golf - Boys</t>
  </si>
  <si>
    <t>Lacrosse - Girls</t>
  </si>
  <si>
    <t>Soccer - Girls</t>
  </si>
  <si>
    <t>Swim &amp; Dive</t>
  </si>
  <si>
    <t>Tennis - Boys</t>
  </si>
  <si>
    <t>Tennis - Girls</t>
  </si>
  <si>
    <t>Track &amp; Field</t>
  </si>
  <si>
    <t>Unrestricted - General Fund</t>
  </si>
  <si>
    <t>Administration</t>
  </si>
  <si>
    <t>Total Unrestricted - General Fund</t>
  </si>
  <si>
    <t>Volleyball - Boys</t>
  </si>
  <si>
    <t>Volleyball - Girls</t>
  </si>
  <si>
    <t>Water Polo - Girls</t>
  </si>
  <si>
    <t>Water Polo- Boys</t>
  </si>
  <si>
    <t>TOTAL</t>
  </si>
  <si>
    <t>Revenue</t>
  </si>
  <si>
    <t xml:space="preserve">   General Fundraising Income</t>
  </si>
  <si>
    <t xml:space="preserve">      Accrued Investment Income</t>
  </si>
  <si>
    <t xml:space="preserve">      Banner Advertising - RAAB General Fund</t>
  </si>
  <si>
    <t xml:space="preserve">      Firework Booth</t>
  </si>
  <si>
    <t xml:space="preserve">      Membership</t>
  </si>
  <si>
    <t xml:space="preserve">   Total General Fundraising Income</t>
  </si>
  <si>
    <t xml:space="preserve">   Team Fundraising Income</t>
  </si>
  <si>
    <t xml:space="preserve">      Cheer Summer Program</t>
  </si>
  <si>
    <t xml:space="preserve">      Cookie Dough Sales</t>
  </si>
  <si>
    <t xml:space="preserve">      Designated Sport Donation</t>
  </si>
  <si>
    <t xml:space="preserve">      Football Golf Tournament</t>
  </si>
  <si>
    <t xml:space="preserve">      Snack Bar Income</t>
  </si>
  <si>
    <t xml:space="preserve">         Football Snack Bar Income</t>
  </si>
  <si>
    <t xml:space="preserve">      Total Snack Bar Income</t>
  </si>
  <si>
    <t xml:space="preserve">   Total Team Fundraising Income</t>
  </si>
  <si>
    <t>Total Revenue</t>
  </si>
  <si>
    <t>Expenditures</t>
  </si>
  <si>
    <t xml:space="preserve">   Administrative Expenses</t>
  </si>
  <si>
    <t xml:space="preserve">      HUDL</t>
  </si>
  <si>
    <t xml:space="preserve">      Postage</t>
  </si>
  <si>
    <t xml:space="preserve">      Technology</t>
  </si>
  <si>
    <t xml:space="preserve">   Total Administrative Expenses</t>
  </si>
  <si>
    <t xml:space="preserve">   General Fundraising Expenses</t>
  </si>
  <si>
    <t xml:space="preserve">      Fireworks Booth</t>
  </si>
  <si>
    <t xml:space="preserve">      Hall of Fame Expense</t>
  </si>
  <si>
    <t xml:space="preserve">   Total General Fundraising Expenses</t>
  </si>
  <si>
    <t xml:space="preserve">   Sports Team Expenses</t>
  </si>
  <si>
    <t xml:space="preserve">      Athletic Equipment</t>
  </si>
  <si>
    <t xml:space="preserve">      Capital Equipment</t>
  </si>
  <si>
    <t xml:space="preserve">      Coach Training/Certifications</t>
  </si>
  <si>
    <t xml:space="preserve">      Coaches Apparel</t>
  </si>
  <si>
    <t xml:space="preserve">      Field Maintenance</t>
  </si>
  <si>
    <t xml:space="preserve">      General Programs Expense</t>
  </si>
  <si>
    <t xml:space="preserve">      Stipends</t>
  </si>
  <si>
    <t xml:space="preserve">         Direct Pay (1099)</t>
  </si>
  <si>
    <t xml:space="preserve">      Total Stipends</t>
  </si>
  <si>
    <t xml:space="preserve">      Team Meals</t>
  </si>
  <si>
    <t xml:space="preserve">      Team Travel</t>
  </si>
  <si>
    <t xml:space="preserve">      Team Uniforms</t>
  </si>
  <si>
    <t xml:space="preserve">         Player Packs</t>
  </si>
  <si>
    <t xml:space="preserve">      Total Team Uniforms</t>
  </si>
  <si>
    <t xml:space="preserve">      Tournament Fees</t>
  </si>
  <si>
    <t xml:space="preserve">   Total Sports Team Expenses</t>
  </si>
  <si>
    <t xml:space="preserve">   Team Fundraising Expenses</t>
  </si>
  <si>
    <t xml:space="preserve">      Snack Bar Expense</t>
  </si>
  <si>
    <t xml:space="preserve">   Total Team Fundraising Expenses</t>
  </si>
  <si>
    <t>Total Expenditures</t>
  </si>
  <si>
    <t>Net Operating Revenue</t>
  </si>
  <si>
    <t>Other Revenue</t>
  </si>
  <si>
    <t xml:space="preserve">   Interest Income</t>
  </si>
  <si>
    <t xml:space="preserve">   Pass-Through Income</t>
  </si>
  <si>
    <t xml:space="preserve">      Player Packs</t>
  </si>
  <si>
    <t xml:space="preserve">   Total Pass-Through Income</t>
  </si>
  <si>
    <t>Total Other Revenue</t>
  </si>
  <si>
    <t>Net Other Revenue</t>
  </si>
  <si>
    <t>Net Revenue</t>
  </si>
  <si>
    <t>Beginning Balance</t>
  </si>
  <si>
    <t>Covered by RAAB General</t>
  </si>
  <si>
    <t>Adjustment to last month's balance</t>
  </si>
  <si>
    <t>New Ending Balance</t>
  </si>
  <si>
    <t>August 1-31, 2025</t>
  </si>
  <si>
    <t>Cash Basis Tuesday, September 09, 2025 07:25 PM GMTZ</t>
  </si>
  <si>
    <t>Cash Basis Tuesday, September 09, 2025 07:26 PM GMTZ</t>
  </si>
  <si>
    <t>*Fundraising deposit of $21k in September</t>
  </si>
  <si>
    <t>Statement of Financial Position</t>
  </si>
  <si>
    <t>As of August 31, 2025</t>
  </si>
  <si>
    <t>Assets</t>
  </si>
  <si>
    <t>Current Assets</t>
  </si>
  <si>
    <t>Bank Accounts</t>
  </si>
  <si>
    <t>Bank of America Checking 2</t>
  </si>
  <si>
    <t>BofA Savings 2</t>
  </si>
  <si>
    <t>CD Investments</t>
  </si>
  <si>
    <t>CD Investment - Maturity 2.17.26</t>
  </si>
  <si>
    <t>CD Investment - Maturity 7.16.25</t>
  </si>
  <si>
    <t>CD Investment - Maturity 8.16.25</t>
  </si>
  <si>
    <t>CD Investment - Maturity 9.25.25</t>
  </si>
  <si>
    <t>Total for CD Investments</t>
  </si>
  <si>
    <t>PayPal - RAAB</t>
  </si>
  <si>
    <t>Total for Bank Accounts</t>
  </si>
  <si>
    <t>Accounts Receivable</t>
  </si>
  <si>
    <t>Other Current Assets</t>
  </si>
  <si>
    <t>Total for Current Assets</t>
  </si>
  <si>
    <t>Fixed Assets</t>
  </si>
  <si>
    <t>Other Assets</t>
  </si>
  <si>
    <t>Total for Assets</t>
  </si>
  <si>
    <t>Liabilities and Equity</t>
  </si>
  <si>
    <t>Liabilities</t>
  </si>
  <si>
    <t>Current Liabilities</t>
  </si>
  <si>
    <t>Accounts Payable</t>
  </si>
  <si>
    <t>Credit Cards</t>
  </si>
  <si>
    <t>Other Current Liabilities</t>
  </si>
  <si>
    <t>California Department of Tax and Fee Administration Payable</t>
  </si>
  <si>
    <t>Total for Other Current Liabilities</t>
  </si>
  <si>
    <t>Total for Current Liabilities</t>
  </si>
  <si>
    <t>Long-term Liabilities</t>
  </si>
  <si>
    <t>Total for Liabilities</t>
  </si>
  <si>
    <t>Equity</t>
  </si>
  <si>
    <t>Restricted Net Assets</t>
  </si>
  <si>
    <t>Jack Scott Tournament</t>
  </si>
  <si>
    <t>Team Funds</t>
  </si>
  <si>
    <t>Athletic Director</t>
  </si>
  <si>
    <t>Golf - Girls</t>
  </si>
  <si>
    <t>Lacrosse - Boys</t>
  </si>
  <si>
    <t>Soccer - Boys</t>
  </si>
  <si>
    <t>Softball</t>
  </si>
  <si>
    <t>Water Polo - Boys</t>
  </si>
  <si>
    <t>Water Polo - Boys - Scoreboard</t>
  </si>
  <si>
    <t>Total for Water Polo - Boys</t>
  </si>
  <si>
    <t>Water Polo - Girls - Scoreboard</t>
  </si>
  <si>
    <t>Total for Water Polo - Girls</t>
  </si>
  <si>
    <t>Wrestling</t>
  </si>
  <si>
    <t>Total for Team Funds</t>
  </si>
  <si>
    <t>Total for Restricted Net Assets</t>
  </si>
  <si>
    <t>Unrestricted Net Assets</t>
  </si>
  <si>
    <t>Total for Equity</t>
  </si>
  <si>
    <t>Total for Liabilities and Equity</t>
  </si>
  <si>
    <t>Cash Basis Tuesday, September 09, 2025 07:46 PM GMTZ</t>
  </si>
  <si>
    <t>* Fundraising deposit of $21k in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</si>
</sst>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"/>
    <numFmt numFmtId="165" formatCode="#,##0.00\ _€"/>
    <numFmt numFmtId="166" formatCode="&quot;$&quot;* #,##0.00\ _€"/>
  </numFmts>
  <fonts count="16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/>
    <xf numFmtId="0" fontId="2" fillId="0" borderId="0"/>
    <xf numFmtId="0" fontId="2" fillId="0" borderId="2"/>
  </cellStyleXfs>
  <cellXfs count="3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3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/>
    </xf>
    <xf numFmtId="0" fontId="5" fillId="0" borderId="1" xfId="2" applyFont="1" applyAlignment="1">
      <alignment horizontal="center" wrapText="1"/>
    </xf>
    <xf numFmtId="4" fontId="3" fillId="0" borderId="0" xfId="0" applyNumberFormat="1" applyFont="1" applyAlignment="1">
      <alignment wrapText="1"/>
    </xf>
    <xf numFmtId="164" fontId="4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/>
    <xf numFmtId="4" fontId="4" fillId="0" borderId="2" xfId="0" applyNumberFormat="1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165" fontId="15" fillId="0" borderId="0" xfId="0" applyNumberFormat="1" applyFont="1" applyAlignment="1">
      <alignment wrapText="1"/>
    </xf>
    <xf numFmtId="165" fontId="15" fillId="0" borderId="0" xfId="0" applyNumberFormat="1" applyFont="1" applyAlignment="1">
      <alignment horizontal="right" wrapText="1"/>
    </xf>
    <xf numFmtId="166" fontId="14" fillId="0" borderId="2" xfId="0" applyNumberFormat="1" applyFont="1" applyBorder="1" applyAlignment="1">
      <alignment horizontal="right" wrapText="1"/>
    </xf>
    <xf numFmtId="43" fontId="9" fillId="0" borderId="0" xfId="0" applyNumberFormat="1" applyFont="1" applyAlignment="1">
      <alignment horizontal="left" wrapText="1"/>
    </xf>
    <xf numFmtId="43" fontId="9" fillId="0" borderId="0" xfId="0" applyNumberFormat="1" applyFont="1"/>
    <xf numFmtId="44" fontId="9" fillId="0" borderId="0" xfId="1" applyFont="1" applyAlignment="1">
      <alignment wrapText="1"/>
    </xf>
    <xf numFmtId="44" fontId="9" fillId="0" borderId="0" xfId="1" applyFont="1"/>
    <xf numFmtId="0" fontId="3" fillId="0" borderId="0" xfId="0" applyFont="1" applyAlignment="1">
      <alignment horizontal="left" wrapText="1" indent="4"/>
    </xf>
    <xf numFmtId="0" fontId="4" fillId="0" borderId="0" xfId="0" applyFont="1" applyAlignment="1">
      <alignment horizontal="left" wrapText="1" indent="3"/>
    </xf>
    <xf numFmtId="0" fontId="3" fillId="0" borderId="0" xfId="0" applyFont="1" applyAlignment="1">
      <alignment horizontal="left" wrapText="1" indent="5"/>
    </xf>
    <xf numFmtId="0" fontId="4" fillId="0" borderId="0" xfId="0" applyFont="1" applyAlignment="1">
      <alignment horizontal="left" wrapText="1" indent="4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/>
    <xf numFmtId="0" fontId="12" fillId="0" borderId="0" xfId="0" applyFont="1" applyAlignment="1">
      <alignment horizontal="center"/>
    </xf>
  </cellXfs>
  <cellStyles count="5">
    <cellStyle name="Currency" xfId="1" builtinId="4"/>
    <cellStyle name="GroupedCellStyle" xfId="3" xr:uid="{00000000-0005-0000-0000-000007000000}"/>
    <cellStyle name="HeaderCellStyle" xfId="2" xr:uid="{00000000-0005-0000-0000-000006000000}"/>
    <cellStyle name="Normal" xfId="0" builtinId="0"/>
    <cellStyle name="TotalCellStyl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4957-0A58-4771-80CF-45BE5D54BF41}">
  <dimension ref="A1:C78"/>
  <sheetViews>
    <sheetView tabSelected="1" workbookViewId="0">
      <selection activeCell="D52" sqref="D52"/>
    </sheetView>
  </sheetViews>
  <sheetFormatPr defaultColWidth="11.25" defaultRowHeight="15.75" outlineLevelRow="5" x14ac:dyDescent="0.25"/>
  <cols>
    <col min="1" max="1" width="51.375" style="1" customWidth="1"/>
    <col min="2" max="2" width="16.125" style="1" customWidth="1"/>
  </cols>
  <sheetData>
    <row r="1" spans="1:2" x14ac:dyDescent="0.25">
      <c r="A1" s="29" t="s">
        <v>169</v>
      </c>
      <c r="B1" s="30"/>
    </row>
    <row r="2" spans="1:2" x14ac:dyDescent="0.25">
      <c r="A2" s="31" t="s">
        <v>1</v>
      </c>
      <c r="B2" s="30"/>
    </row>
    <row r="3" spans="1:2" x14ac:dyDescent="0.25">
      <c r="A3" s="32" t="s">
        <v>170</v>
      </c>
      <c r="B3" s="30"/>
    </row>
    <row r="5" spans="1:2" x14ac:dyDescent="0.25">
      <c r="A5" s="10" t="s">
        <v>78</v>
      </c>
      <c r="B5" s="10" t="s">
        <v>79</v>
      </c>
    </row>
    <row r="6" spans="1:2" x14ac:dyDescent="0.25">
      <c r="A6" s="3" t="s">
        <v>171</v>
      </c>
    </row>
    <row r="7" spans="1:2" outlineLevel="1" x14ac:dyDescent="0.25">
      <c r="A7" s="4" t="s">
        <v>172</v>
      </c>
    </row>
    <row r="8" spans="1:2" outlineLevel="2" x14ac:dyDescent="0.25">
      <c r="A8" s="5" t="s">
        <v>173</v>
      </c>
    </row>
    <row r="9" spans="1:2" outlineLevel="3" x14ac:dyDescent="0.25">
      <c r="A9" s="7" t="s">
        <v>174</v>
      </c>
      <c r="B9" s="11">
        <v>270576.58</v>
      </c>
    </row>
    <row r="10" spans="1:2" outlineLevel="3" x14ac:dyDescent="0.25">
      <c r="A10" s="7" t="s">
        <v>175</v>
      </c>
      <c r="B10" s="11">
        <v>34745.42</v>
      </c>
    </row>
    <row r="11" spans="1:2" outlineLevel="3" x14ac:dyDescent="0.25">
      <c r="A11" s="7" t="s">
        <v>176</v>
      </c>
      <c r="B11" s="11">
        <v>0</v>
      </c>
    </row>
    <row r="12" spans="1:2" outlineLevel="4" x14ac:dyDescent="0.25">
      <c r="A12" s="25" t="s">
        <v>177</v>
      </c>
      <c r="B12" s="11">
        <v>67989.09</v>
      </c>
    </row>
    <row r="13" spans="1:2" outlineLevel="4" x14ac:dyDescent="0.25">
      <c r="A13" s="25" t="s">
        <v>178</v>
      </c>
      <c r="B13" s="13"/>
    </row>
    <row r="14" spans="1:2" outlineLevel="4" x14ac:dyDescent="0.25">
      <c r="A14" s="25" t="s">
        <v>179</v>
      </c>
      <c r="B14" s="11">
        <v>68460.14</v>
      </c>
    </row>
    <row r="15" spans="1:2" outlineLevel="4" x14ac:dyDescent="0.25">
      <c r="A15" s="25" t="s">
        <v>180</v>
      </c>
      <c r="B15" s="11">
        <v>68147.31</v>
      </c>
    </row>
    <row r="16" spans="1:2" outlineLevel="3" x14ac:dyDescent="0.25">
      <c r="A16" s="26" t="s">
        <v>181</v>
      </c>
      <c r="B16" s="12">
        <f>B11+B12+B13+B14+B15</f>
        <v>204596.53999999998</v>
      </c>
    </row>
    <row r="17" spans="1:2" outlineLevel="3" x14ac:dyDescent="0.25">
      <c r="A17" s="7" t="s">
        <v>182</v>
      </c>
      <c r="B17" s="11">
        <v>10</v>
      </c>
    </row>
    <row r="18" spans="1:2" outlineLevel="2" x14ac:dyDescent="0.25">
      <c r="A18" s="8" t="s">
        <v>183</v>
      </c>
      <c r="B18" s="12">
        <f>B8+B9+B10+B16+B17</f>
        <v>509928.54</v>
      </c>
    </row>
    <row r="19" spans="1:2" outlineLevel="2" x14ac:dyDescent="0.25">
      <c r="A19" s="5" t="s">
        <v>184</v>
      </c>
      <c r="B19" s="13"/>
    </row>
    <row r="20" spans="1:2" outlineLevel="2" x14ac:dyDescent="0.25">
      <c r="A20" s="5" t="s">
        <v>185</v>
      </c>
      <c r="B20" s="13"/>
    </row>
    <row r="21" spans="1:2" outlineLevel="1" x14ac:dyDescent="0.25">
      <c r="A21" s="6" t="s">
        <v>186</v>
      </c>
      <c r="B21" s="12">
        <f>B7+B18+B19+B20</f>
        <v>509928.54</v>
      </c>
    </row>
    <row r="22" spans="1:2" outlineLevel="1" x14ac:dyDescent="0.25">
      <c r="A22" s="4" t="s">
        <v>187</v>
      </c>
      <c r="B22" s="13"/>
    </row>
    <row r="23" spans="1:2" outlineLevel="1" x14ac:dyDescent="0.25">
      <c r="A23" s="4" t="s">
        <v>188</v>
      </c>
      <c r="B23" s="13"/>
    </row>
    <row r="24" spans="1:2" x14ac:dyDescent="0.25">
      <c r="A24" s="9" t="s">
        <v>189</v>
      </c>
      <c r="B24" s="12">
        <f>B21+B22+B23</f>
        <v>509928.54</v>
      </c>
    </row>
    <row r="25" spans="1:2" x14ac:dyDescent="0.25">
      <c r="A25" s="3" t="s">
        <v>190</v>
      </c>
    </row>
    <row r="26" spans="1:2" outlineLevel="1" x14ac:dyDescent="0.25">
      <c r="A26" s="4" t="s">
        <v>191</v>
      </c>
    </row>
    <row r="27" spans="1:2" outlineLevel="2" x14ac:dyDescent="0.25">
      <c r="A27" s="5" t="s">
        <v>192</v>
      </c>
    </row>
    <row r="28" spans="1:2" outlineLevel="3" x14ac:dyDescent="0.25">
      <c r="A28" s="7" t="s">
        <v>193</v>
      </c>
      <c r="B28" s="13"/>
    </row>
    <row r="29" spans="1:2" outlineLevel="3" x14ac:dyDescent="0.25">
      <c r="A29" s="7" t="s">
        <v>194</v>
      </c>
      <c r="B29" s="13"/>
    </row>
    <row r="30" spans="1:2" outlineLevel="3" x14ac:dyDescent="0.25">
      <c r="A30" s="7" t="s">
        <v>195</v>
      </c>
    </row>
    <row r="31" spans="1:2" outlineLevel="4" x14ac:dyDescent="0.25">
      <c r="A31" s="25" t="s">
        <v>196</v>
      </c>
      <c r="B31" s="13"/>
    </row>
    <row r="32" spans="1:2" outlineLevel="3" x14ac:dyDescent="0.25">
      <c r="A32" s="26" t="s">
        <v>197</v>
      </c>
      <c r="B32" s="15">
        <f>B30+B31</f>
        <v>0</v>
      </c>
    </row>
    <row r="33" spans="1:3" outlineLevel="2" x14ac:dyDescent="0.25">
      <c r="A33" s="8" t="s">
        <v>198</v>
      </c>
      <c r="B33" s="15">
        <f>B27+B28+B29+B32</f>
        <v>0</v>
      </c>
    </row>
    <row r="34" spans="1:3" outlineLevel="2" x14ac:dyDescent="0.25">
      <c r="A34" s="5" t="s">
        <v>199</v>
      </c>
      <c r="B34" s="13"/>
    </row>
    <row r="35" spans="1:3" outlineLevel="1" x14ac:dyDescent="0.25">
      <c r="A35" s="6" t="s">
        <v>200</v>
      </c>
      <c r="B35" s="15">
        <f>B26+B33+B34</f>
        <v>0</v>
      </c>
    </row>
    <row r="36" spans="1:3" outlineLevel="1" x14ac:dyDescent="0.25">
      <c r="A36" s="4" t="s">
        <v>201</v>
      </c>
    </row>
    <row r="37" spans="1:3" outlineLevel="2" x14ac:dyDescent="0.25">
      <c r="A37" s="5" t="s">
        <v>202</v>
      </c>
      <c r="B37" s="11">
        <v>0</v>
      </c>
    </row>
    <row r="38" spans="1:3" outlineLevel="3" x14ac:dyDescent="0.25">
      <c r="A38" s="7" t="s">
        <v>86</v>
      </c>
      <c r="B38" s="11">
        <v>582</v>
      </c>
    </row>
    <row r="39" spans="1:3" outlineLevel="3" x14ac:dyDescent="0.25">
      <c r="A39" s="7" t="s">
        <v>203</v>
      </c>
      <c r="B39" s="11">
        <v>2000</v>
      </c>
    </row>
    <row r="40" spans="1:3" outlineLevel="3" x14ac:dyDescent="0.25">
      <c r="A40" s="7" t="s">
        <v>204</v>
      </c>
      <c r="B40" s="11">
        <v>0</v>
      </c>
    </row>
    <row r="41" spans="1:3" outlineLevel="4" x14ac:dyDescent="0.25">
      <c r="A41" s="25" t="s">
        <v>205</v>
      </c>
      <c r="B41" s="13"/>
    </row>
    <row r="42" spans="1:3" outlineLevel="4" x14ac:dyDescent="0.25">
      <c r="A42" s="25" t="s">
        <v>81</v>
      </c>
      <c r="B42" s="11">
        <v>27868.68</v>
      </c>
    </row>
    <row r="43" spans="1:3" outlineLevel="4" x14ac:dyDescent="0.25">
      <c r="A43" s="25" t="s">
        <v>82</v>
      </c>
      <c r="B43" s="11">
        <v>6296.85</v>
      </c>
    </row>
    <row r="44" spans="1:3" outlineLevel="4" x14ac:dyDescent="0.25">
      <c r="A44" s="25" t="s">
        <v>83</v>
      </c>
      <c r="B44" s="11">
        <v>10460.15</v>
      </c>
    </row>
    <row r="45" spans="1:3" outlineLevel="4" x14ac:dyDescent="0.25">
      <c r="A45" s="25" t="s">
        <v>84</v>
      </c>
      <c r="B45" s="11">
        <v>7674.46</v>
      </c>
    </row>
    <row r="46" spans="1:3" outlineLevel="4" x14ac:dyDescent="0.25">
      <c r="A46" s="25" t="s">
        <v>85</v>
      </c>
      <c r="B46" s="11">
        <v>8750.7099999999991</v>
      </c>
    </row>
    <row r="47" spans="1:3" outlineLevel="4" x14ac:dyDescent="0.25">
      <c r="A47" s="25" t="s">
        <v>87</v>
      </c>
      <c r="B47" s="11">
        <v>315.22000000000003</v>
      </c>
    </row>
    <row r="48" spans="1:3" outlineLevel="4" x14ac:dyDescent="0.25">
      <c r="A48" s="25" t="s">
        <v>88</v>
      </c>
      <c r="B48" s="11">
        <v>-16692.740000000002</v>
      </c>
      <c r="C48" s="2" t="s">
        <v>222</v>
      </c>
    </row>
    <row r="49" spans="1:2" outlineLevel="4" x14ac:dyDescent="0.25">
      <c r="A49" s="25" t="s">
        <v>89</v>
      </c>
      <c r="B49" s="11">
        <v>2279.9299999999998</v>
      </c>
    </row>
    <row r="50" spans="1:2" outlineLevel="4" x14ac:dyDescent="0.25">
      <c r="A50" s="25" t="s">
        <v>206</v>
      </c>
      <c r="B50" s="11">
        <v>520</v>
      </c>
    </row>
    <row r="51" spans="1:2" outlineLevel="4" x14ac:dyDescent="0.25">
      <c r="A51" s="25" t="s">
        <v>207</v>
      </c>
      <c r="B51" s="11">
        <v>1723.48</v>
      </c>
    </row>
    <row r="52" spans="1:2" outlineLevel="4" x14ac:dyDescent="0.25">
      <c r="A52" s="25" t="s">
        <v>90</v>
      </c>
      <c r="B52" s="11">
        <v>10135.02</v>
      </c>
    </row>
    <row r="53" spans="1:2" outlineLevel="4" x14ac:dyDescent="0.25">
      <c r="A53" s="25" t="s">
        <v>208</v>
      </c>
      <c r="B53" s="11">
        <v>2107.48</v>
      </c>
    </row>
    <row r="54" spans="1:2" outlineLevel="4" x14ac:dyDescent="0.25">
      <c r="A54" s="25" t="s">
        <v>91</v>
      </c>
      <c r="B54" s="11">
        <v>12973.49</v>
      </c>
    </row>
    <row r="55" spans="1:2" outlineLevel="4" x14ac:dyDescent="0.25">
      <c r="A55" s="25" t="s">
        <v>209</v>
      </c>
      <c r="B55" s="11">
        <v>280.74</v>
      </c>
    </row>
    <row r="56" spans="1:2" outlineLevel="4" x14ac:dyDescent="0.25">
      <c r="A56" s="25" t="s">
        <v>92</v>
      </c>
      <c r="B56" s="11">
        <v>10278.459999999999</v>
      </c>
    </row>
    <row r="57" spans="1:2" outlineLevel="4" x14ac:dyDescent="0.25">
      <c r="A57" s="25" t="s">
        <v>93</v>
      </c>
      <c r="B57" s="11">
        <v>298.86</v>
      </c>
    </row>
    <row r="58" spans="1:2" outlineLevel="4" x14ac:dyDescent="0.25">
      <c r="A58" s="25" t="s">
        <v>94</v>
      </c>
      <c r="B58" s="11">
        <v>2697.25</v>
      </c>
    </row>
    <row r="59" spans="1:2" outlineLevel="4" x14ac:dyDescent="0.25">
      <c r="A59" s="25" t="s">
        <v>95</v>
      </c>
      <c r="B59" s="11">
        <v>8931.41</v>
      </c>
    </row>
    <row r="60" spans="1:2" outlineLevel="4" x14ac:dyDescent="0.25">
      <c r="A60" s="25" t="s">
        <v>99</v>
      </c>
      <c r="B60" s="11">
        <v>9996.6200000000008</v>
      </c>
    </row>
    <row r="61" spans="1:2" outlineLevel="4" x14ac:dyDescent="0.25">
      <c r="A61" s="25" t="s">
        <v>100</v>
      </c>
      <c r="B61" s="11">
        <v>501.72</v>
      </c>
    </row>
    <row r="62" spans="1:2" outlineLevel="4" x14ac:dyDescent="0.25">
      <c r="A62" s="25" t="s">
        <v>210</v>
      </c>
      <c r="B62" s="11">
        <v>4432.0600000000004</v>
      </c>
    </row>
    <row r="63" spans="1:2" outlineLevel="5" x14ac:dyDescent="0.25">
      <c r="A63" s="27" t="s">
        <v>211</v>
      </c>
      <c r="B63" s="11">
        <v>3071.78</v>
      </c>
    </row>
    <row r="64" spans="1:2" outlineLevel="4" x14ac:dyDescent="0.25">
      <c r="A64" s="28" t="s">
        <v>212</v>
      </c>
      <c r="B64" s="12">
        <f>B62+B63</f>
        <v>7503.84</v>
      </c>
    </row>
    <row r="65" spans="1:2" outlineLevel="4" x14ac:dyDescent="0.25">
      <c r="A65" s="25" t="s">
        <v>101</v>
      </c>
      <c r="B65" s="11">
        <v>7145.28</v>
      </c>
    </row>
    <row r="66" spans="1:2" outlineLevel="5" x14ac:dyDescent="0.25">
      <c r="A66" s="27" t="s">
        <v>213</v>
      </c>
      <c r="B66" s="11">
        <v>7366.49</v>
      </c>
    </row>
    <row r="67" spans="1:2" outlineLevel="4" x14ac:dyDescent="0.25">
      <c r="A67" s="28" t="s">
        <v>214</v>
      </c>
      <c r="B67" s="12">
        <f>B65+B66</f>
        <v>14511.77</v>
      </c>
    </row>
    <row r="68" spans="1:2" outlineLevel="4" x14ac:dyDescent="0.25">
      <c r="A68" s="25" t="s">
        <v>215</v>
      </c>
      <c r="B68" s="11">
        <v>6670.92</v>
      </c>
    </row>
    <row r="69" spans="1:2" outlineLevel="3" x14ac:dyDescent="0.25">
      <c r="A69" s="26" t="s">
        <v>216</v>
      </c>
      <c r="B69" s="12">
        <f>B40+B41+B42+B43+B44+B45+B46+B47+B48+B49+B50+B51+B52+B53+B54+B55+B56+B57+B58+B59+B60+B61+B64+B67+B68</f>
        <v>136084.32000000004</v>
      </c>
    </row>
    <row r="70" spans="1:2" outlineLevel="2" x14ac:dyDescent="0.25">
      <c r="A70" s="8" t="s">
        <v>217</v>
      </c>
      <c r="B70" s="12">
        <f>B37+B38+B39+B69</f>
        <v>138666.32000000004</v>
      </c>
    </row>
    <row r="71" spans="1:2" outlineLevel="2" x14ac:dyDescent="0.25">
      <c r="A71" s="5" t="s">
        <v>218</v>
      </c>
      <c r="B71" s="11">
        <v>332553.21000000095</v>
      </c>
    </row>
    <row r="72" spans="1:2" outlineLevel="2" x14ac:dyDescent="0.25">
      <c r="A72" s="5" t="s">
        <v>77</v>
      </c>
      <c r="B72" s="11">
        <v>38709.010000000017</v>
      </c>
    </row>
    <row r="73" spans="1:2" outlineLevel="1" x14ac:dyDescent="0.25">
      <c r="A73" s="6" t="s">
        <v>219</v>
      </c>
      <c r="B73" s="12">
        <f>B36+B70+B71+B72</f>
        <v>509928.54000000097</v>
      </c>
    </row>
    <row r="74" spans="1:2" x14ac:dyDescent="0.25">
      <c r="A74" s="9" t="s">
        <v>220</v>
      </c>
      <c r="B74" s="12">
        <f>B35+B73</f>
        <v>509928.54000000097</v>
      </c>
    </row>
    <row r="78" spans="1:2" x14ac:dyDescent="0.25">
      <c r="A78" s="33" t="s">
        <v>221</v>
      </c>
      <c r="B78" s="30"/>
    </row>
  </sheetData>
  <mergeCells count="4">
    <mergeCell ref="A1:B1"/>
    <mergeCell ref="A2:B2"/>
    <mergeCell ref="A3:B3"/>
    <mergeCell ref="A78:B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3FEF-A70D-B944-82F4-C9836B181100}">
  <dimension ref="A1:B86"/>
  <sheetViews>
    <sheetView workbookViewId="0">
      <selection activeCell="D12" sqref="D12"/>
    </sheetView>
  </sheetViews>
  <sheetFormatPr defaultColWidth="11.25" defaultRowHeight="15.75" outlineLevelRow="3" x14ac:dyDescent="0.25"/>
  <cols>
    <col min="1" max="1" width="33.25" style="1" customWidth="1"/>
    <col min="2" max="2" width="16.125" style="1" customWidth="1"/>
  </cols>
  <sheetData>
    <row r="1" spans="1:2" x14ac:dyDescent="0.25">
      <c r="A1" s="29" t="s">
        <v>0</v>
      </c>
      <c r="B1" s="30"/>
    </row>
    <row r="2" spans="1:2" x14ac:dyDescent="0.25">
      <c r="A2" s="31" t="s">
        <v>1</v>
      </c>
      <c r="B2" s="30"/>
    </row>
    <row r="3" spans="1:2" x14ac:dyDescent="0.25">
      <c r="A3" s="32" t="s">
        <v>2</v>
      </c>
      <c r="B3" s="30"/>
    </row>
    <row r="5" spans="1:2" x14ac:dyDescent="0.25">
      <c r="A5" s="10" t="s">
        <v>78</v>
      </c>
      <c r="B5" s="10" t="s">
        <v>79</v>
      </c>
    </row>
    <row r="6" spans="1:2" x14ac:dyDescent="0.25">
      <c r="A6" s="3" t="s">
        <v>3</v>
      </c>
    </row>
    <row r="7" spans="1:2" outlineLevel="1" x14ac:dyDescent="0.25">
      <c r="A7" s="4" t="s">
        <v>4</v>
      </c>
      <c r="B7" s="11">
        <v>0</v>
      </c>
    </row>
    <row r="8" spans="1:2" outlineLevel="2" x14ac:dyDescent="0.25">
      <c r="A8" s="5" t="s">
        <v>5</v>
      </c>
      <c r="B8" s="11">
        <v>1426.36</v>
      </c>
    </row>
    <row r="9" spans="1:2" outlineLevel="2" x14ac:dyDescent="0.25">
      <c r="A9" s="5" t="s">
        <v>6</v>
      </c>
      <c r="B9" s="11">
        <v>400</v>
      </c>
    </row>
    <row r="10" spans="1:2" outlineLevel="2" x14ac:dyDescent="0.25">
      <c r="A10" s="5" t="s">
        <v>7</v>
      </c>
      <c r="B10" s="11">
        <v>53344.98</v>
      </c>
    </row>
    <row r="11" spans="1:2" outlineLevel="2" x14ac:dyDescent="0.25">
      <c r="A11" s="5" t="s">
        <v>8</v>
      </c>
      <c r="B11" s="11">
        <v>24</v>
      </c>
    </row>
    <row r="12" spans="1:2" outlineLevel="2" x14ac:dyDescent="0.25">
      <c r="A12" s="5" t="s">
        <v>9</v>
      </c>
      <c r="B12" s="11">
        <v>582</v>
      </c>
    </row>
    <row r="13" spans="1:2" outlineLevel="2" x14ac:dyDescent="0.25">
      <c r="A13" s="5" t="s">
        <v>10</v>
      </c>
      <c r="B13" s="11">
        <v>31840</v>
      </c>
    </row>
    <row r="14" spans="1:2" outlineLevel="1" x14ac:dyDescent="0.25">
      <c r="A14" s="6" t="s">
        <v>11</v>
      </c>
      <c r="B14" s="12">
        <f>B7+B8+B9+B10+B11+B12+B13</f>
        <v>87617.34</v>
      </c>
    </row>
    <row r="15" spans="1:2" outlineLevel="1" x14ac:dyDescent="0.25">
      <c r="A15" s="4" t="s">
        <v>12</v>
      </c>
      <c r="B15" s="11">
        <v>0</v>
      </c>
    </row>
    <row r="16" spans="1:2" outlineLevel="2" x14ac:dyDescent="0.25">
      <c r="A16" s="5" t="s">
        <v>13</v>
      </c>
      <c r="B16" s="11">
        <v>500</v>
      </c>
    </row>
    <row r="17" spans="1:2" outlineLevel="2" x14ac:dyDescent="0.25">
      <c r="A17" s="5" t="s">
        <v>14</v>
      </c>
      <c r="B17" s="11">
        <v>10150</v>
      </c>
    </row>
    <row r="18" spans="1:2" outlineLevel="2" x14ac:dyDescent="0.25">
      <c r="A18" s="5" t="s">
        <v>15</v>
      </c>
      <c r="B18" s="11">
        <v>10646</v>
      </c>
    </row>
    <row r="19" spans="1:2" outlineLevel="2" x14ac:dyDescent="0.25">
      <c r="A19" s="5" t="s">
        <v>16</v>
      </c>
      <c r="B19" s="11">
        <v>721.57</v>
      </c>
    </row>
    <row r="20" spans="1:2" outlineLevel="2" x14ac:dyDescent="0.25">
      <c r="A20" s="5" t="s">
        <v>17</v>
      </c>
      <c r="B20" s="11">
        <v>29857.53</v>
      </c>
    </row>
    <row r="21" spans="1:2" outlineLevel="2" x14ac:dyDescent="0.25">
      <c r="A21" s="5" t="s">
        <v>18</v>
      </c>
      <c r="B21" s="11">
        <v>0</v>
      </c>
    </row>
    <row r="22" spans="1:2" outlineLevel="3" x14ac:dyDescent="0.25">
      <c r="A22" s="7" t="s">
        <v>19</v>
      </c>
      <c r="B22" s="11">
        <v>6.63</v>
      </c>
    </row>
    <row r="23" spans="1:2" outlineLevel="2" x14ac:dyDescent="0.25">
      <c r="A23" s="8" t="s">
        <v>20</v>
      </c>
      <c r="B23" s="12">
        <f>B21+B22</f>
        <v>6.63</v>
      </c>
    </row>
    <row r="24" spans="1:2" outlineLevel="2" x14ac:dyDescent="0.25">
      <c r="A24" s="5" t="s">
        <v>21</v>
      </c>
      <c r="B24" s="11">
        <v>149</v>
      </c>
    </row>
    <row r="25" spans="1:2" outlineLevel="3" x14ac:dyDescent="0.25">
      <c r="A25" s="7" t="s">
        <v>22</v>
      </c>
      <c r="B25" s="11">
        <v>742</v>
      </c>
    </row>
    <row r="26" spans="1:2" outlineLevel="3" x14ac:dyDescent="0.25">
      <c r="A26" s="7" t="s">
        <v>23</v>
      </c>
      <c r="B26" s="11">
        <v>143</v>
      </c>
    </row>
    <row r="27" spans="1:2" outlineLevel="3" x14ac:dyDescent="0.25">
      <c r="A27" s="7" t="s">
        <v>24</v>
      </c>
      <c r="B27" s="11">
        <v>203.71</v>
      </c>
    </row>
    <row r="28" spans="1:2" outlineLevel="2" x14ac:dyDescent="0.25">
      <c r="A28" s="8" t="s">
        <v>25</v>
      </c>
      <c r="B28" s="12">
        <f>B24+B25+B26+B27</f>
        <v>1237.71</v>
      </c>
    </row>
    <row r="29" spans="1:2" outlineLevel="2" x14ac:dyDescent="0.25">
      <c r="A29" s="5" t="s">
        <v>26</v>
      </c>
      <c r="B29" s="11">
        <v>9592.25</v>
      </c>
    </row>
    <row r="30" spans="1:2" outlineLevel="2" x14ac:dyDescent="0.25">
      <c r="A30" s="5" t="s">
        <v>27</v>
      </c>
      <c r="B30" s="11">
        <v>2938</v>
      </c>
    </row>
    <row r="31" spans="1:2" outlineLevel="2" x14ac:dyDescent="0.25">
      <c r="A31" s="5" t="s">
        <v>28</v>
      </c>
      <c r="B31" s="11">
        <v>0</v>
      </c>
    </row>
    <row r="32" spans="1:2" outlineLevel="3" x14ac:dyDescent="0.25">
      <c r="A32" s="7" t="s">
        <v>29</v>
      </c>
      <c r="B32" s="11">
        <v>1350</v>
      </c>
    </row>
    <row r="33" spans="1:2" outlineLevel="2" x14ac:dyDescent="0.25">
      <c r="A33" s="8" t="s">
        <v>30</v>
      </c>
      <c r="B33" s="12">
        <f>B31+B32</f>
        <v>1350</v>
      </c>
    </row>
    <row r="34" spans="1:2" outlineLevel="1" x14ac:dyDescent="0.25">
      <c r="A34" s="6" t="s">
        <v>31</v>
      </c>
      <c r="B34" s="12">
        <f>B15+B16+B17+B18+B19+B20+B23+B28+B29+B30+B33</f>
        <v>66999.69</v>
      </c>
    </row>
    <row r="35" spans="1:2" x14ac:dyDescent="0.25">
      <c r="A35" s="9" t="s">
        <v>32</v>
      </c>
      <c r="B35" s="12">
        <f>B14+B34</f>
        <v>154617.03</v>
      </c>
    </row>
    <row r="36" spans="1:2" x14ac:dyDescent="0.25">
      <c r="A36" s="3" t="s">
        <v>33</v>
      </c>
      <c r="B36" s="13"/>
    </row>
    <row r="37" spans="1:2" x14ac:dyDescent="0.25">
      <c r="A37" s="9" t="s">
        <v>34</v>
      </c>
      <c r="B37" s="12">
        <f>B35-B36</f>
        <v>154617.03</v>
      </c>
    </row>
    <row r="38" spans="1:2" x14ac:dyDescent="0.25">
      <c r="A38" s="3" t="s">
        <v>35</v>
      </c>
    </row>
    <row r="39" spans="1:2" outlineLevel="1" x14ac:dyDescent="0.25">
      <c r="A39" s="4" t="s">
        <v>36</v>
      </c>
      <c r="B39" s="11">
        <v>1068.46</v>
      </c>
    </row>
    <row r="40" spans="1:2" outlineLevel="2" x14ac:dyDescent="0.25">
      <c r="A40" s="5" t="s">
        <v>37</v>
      </c>
      <c r="B40" s="11">
        <v>9500</v>
      </c>
    </row>
    <row r="41" spans="1:2" outlineLevel="2" x14ac:dyDescent="0.25">
      <c r="A41" s="5" t="s">
        <v>38</v>
      </c>
      <c r="B41" s="11">
        <v>86.55</v>
      </c>
    </row>
    <row r="42" spans="1:2" outlineLevel="2" x14ac:dyDescent="0.25">
      <c r="A42" s="5" t="s">
        <v>39</v>
      </c>
      <c r="B42" s="11">
        <v>329</v>
      </c>
    </row>
    <row r="43" spans="1:2" outlineLevel="1" x14ac:dyDescent="0.25">
      <c r="A43" s="6" t="s">
        <v>40</v>
      </c>
      <c r="B43" s="12">
        <f>B39+B40+B41+B42</f>
        <v>10984.009999999998</v>
      </c>
    </row>
    <row r="44" spans="1:2" outlineLevel="1" x14ac:dyDescent="0.25">
      <c r="A44" s="4" t="s">
        <v>41</v>
      </c>
      <c r="B44" s="11">
        <v>0</v>
      </c>
    </row>
    <row r="45" spans="1:2" outlineLevel="2" x14ac:dyDescent="0.25">
      <c r="A45" s="5" t="s">
        <v>42</v>
      </c>
      <c r="B45" s="11">
        <v>264</v>
      </c>
    </row>
    <row r="46" spans="1:2" outlineLevel="2" x14ac:dyDescent="0.25">
      <c r="A46" s="5" t="s">
        <v>43</v>
      </c>
      <c r="B46" s="11">
        <v>12524.8</v>
      </c>
    </row>
    <row r="47" spans="1:2" outlineLevel="2" x14ac:dyDescent="0.25">
      <c r="A47" s="5" t="s">
        <v>44</v>
      </c>
      <c r="B47" s="11">
        <v>631.85</v>
      </c>
    </row>
    <row r="48" spans="1:2" outlineLevel="1" x14ac:dyDescent="0.25">
      <c r="A48" s="6" t="s">
        <v>45</v>
      </c>
      <c r="B48" s="12">
        <f>B44+B45+B46+B47</f>
        <v>13420.65</v>
      </c>
    </row>
    <row r="49" spans="1:2" outlineLevel="1" x14ac:dyDescent="0.25">
      <c r="A49" s="4" t="s">
        <v>46</v>
      </c>
      <c r="B49" s="11">
        <v>0</v>
      </c>
    </row>
    <row r="50" spans="1:2" outlineLevel="2" x14ac:dyDescent="0.25">
      <c r="A50" s="5" t="s">
        <v>47</v>
      </c>
      <c r="B50" s="11">
        <v>9608.52</v>
      </c>
    </row>
    <row r="51" spans="1:2" outlineLevel="2" x14ac:dyDescent="0.25">
      <c r="A51" s="5" t="s">
        <v>48</v>
      </c>
      <c r="B51" s="11">
        <v>8523.59</v>
      </c>
    </row>
    <row r="52" spans="1:2" outlineLevel="2" x14ac:dyDescent="0.25">
      <c r="A52" s="5" t="s">
        <v>49</v>
      </c>
      <c r="B52" s="11">
        <v>222.41</v>
      </c>
    </row>
    <row r="53" spans="1:2" outlineLevel="2" x14ac:dyDescent="0.25">
      <c r="A53" s="5" t="s">
        <v>50</v>
      </c>
      <c r="B53" s="11">
        <v>90</v>
      </c>
    </row>
    <row r="54" spans="1:2" outlineLevel="2" x14ac:dyDescent="0.25">
      <c r="A54" s="5" t="s">
        <v>51</v>
      </c>
      <c r="B54" s="11">
        <v>102.99</v>
      </c>
    </row>
    <row r="55" spans="1:2" outlineLevel="2" x14ac:dyDescent="0.25">
      <c r="A55" s="5" t="s">
        <v>52</v>
      </c>
      <c r="B55" s="11">
        <v>1930.06</v>
      </c>
    </row>
    <row r="56" spans="1:2" outlineLevel="2" x14ac:dyDescent="0.25">
      <c r="A56" s="5" t="s">
        <v>53</v>
      </c>
      <c r="B56" s="11">
        <v>2333.54</v>
      </c>
    </row>
    <row r="57" spans="1:2" outlineLevel="3" x14ac:dyDescent="0.25">
      <c r="A57" s="7" t="s">
        <v>54</v>
      </c>
      <c r="B57" s="11">
        <v>7250</v>
      </c>
    </row>
    <row r="58" spans="1:2" outlineLevel="2" x14ac:dyDescent="0.25">
      <c r="A58" s="8" t="s">
        <v>55</v>
      </c>
      <c r="B58" s="12">
        <f>B56+B57</f>
        <v>9583.5400000000009</v>
      </c>
    </row>
    <row r="59" spans="1:2" outlineLevel="2" x14ac:dyDescent="0.25">
      <c r="A59" s="5" t="s">
        <v>56</v>
      </c>
      <c r="B59" s="11">
        <v>886.43</v>
      </c>
    </row>
    <row r="60" spans="1:2" outlineLevel="2" x14ac:dyDescent="0.25">
      <c r="A60" s="5" t="s">
        <v>57</v>
      </c>
      <c r="B60" s="11">
        <v>5881.56</v>
      </c>
    </row>
    <row r="61" spans="1:2" outlineLevel="2" x14ac:dyDescent="0.25">
      <c r="A61" s="5" t="s">
        <v>58</v>
      </c>
      <c r="B61" s="11">
        <v>1166.8599999999999</v>
      </c>
    </row>
    <row r="62" spans="1:2" outlineLevel="2" x14ac:dyDescent="0.25">
      <c r="A62" s="5" t="s">
        <v>59</v>
      </c>
      <c r="B62" s="11">
        <v>24450.29</v>
      </c>
    </row>
    <row r="63" spans="1:2" outlineLevel="2" x14ac:dyDescent="0.25">
      <c r="A63" s="5" t="s">
        <v>60</v>
      </c>
      <c r="B63" s="11">
        <v>1386.88</v>
      </c>
    </row>
    <row r="64" spans="1:2" outlineLevel="3" x14ac:dyDescent="0.25">
      <c r="A64" s="7" t="s">
        <v>61</v>
      </c>
      <c r="B64" s="11">
        <v>25039.42</v>
      </c>
    </row>
    <row r="65" spans="1:2" outlineLevel="2" x14ac:dyDescent="0.25">
      <c r="A65" s="8" t="s">
        <v>62</v>
      </c>
      <c r="B65" s="12">
        <f>B63+B64</f>
        <v>26426.3</v>
      </c>
    </row>
    <row r="66" spans="1:2" outlineLevel="2" x14ac:dyDescent="0.25">
      <c r="A66" s="5" t="s">
        <v>63</v>
      </c>
      <c r="B66" s="11">
        <v>9365</v>
      </c>
    </row>
    <row r="67" spans="1:2" outlineLevel="1" x14ac:dyDescent="0.25">
      <c r="A67" s="6" t="s">
        <v>64</v>
      </c>
      <c r="B67" s="12">
        <f>B49+B50+B51+B52+B53+B54+B55+B58+B59+B60+B61+B62+B65+B66</f>
        <v>98237.55</v>
      </c>
    </row>
    <row r="68" spans="1:2" outlineLevel="1" x14ac:dyDescent="0.25">
      <c r="A68" s="4" t="s">
        <v>65</v>
      </c>
      <c r="B68" s="11">
        <v>11752.75</v>
      </c>
    </row>
    <row r="69" spans="1:2" outlineLevel="2" x14ac:dyDescent="0.25">
      <c r="A69" s="5" t="s">
        <v>17</v>
      </c>
      <c r="B69" s="11">
        <v>12047.88</v>
      </c>
    </row>
    <row r="70" spans="1:2" outlineLevel="2" x14ac:dyDescent="0.25">
      <c r="A70" s="5" t="s">
        <v>66</v>
      </c>
      <c r="B70" s="11">
        <v>848.81</v>
      </c>
    </row>
    <row r="71" spans="1:2" outlineLevel="1" x14ac:dyDescent="0.25">
      <c r="A71" s="6" t="s">
        <v>67</v>
      </c>
      <c r="B71" s="12">
        <f>B68+B69+B70</f>
        <v>24649.439999999999</v>
      </c>
    </row>
    <row r="72" spans="1:2" x14ac:dyDescent="0.25">
      <c r="A72" s="9" t="s">
        <v>68</v>
      </c>
      <c r="B72" s="12">
        <f>B43+B48+B67+B71</f>
        <v>147291.65</v>
      </c>
    </row>
    <row r="73" spans="1:2" x14ac:dyDescent="0.25">
      <c r="A73" s="9" t="s">
        <v>69</v>
      </c>
      <c r="B73" s="12">
        <f>B37-B72</f>
        <v>7325.3800000000047</v>
      </c>
    </row>
    <row r="74" spans="1:2" x14ac:dyDescent="0.25">
      <c r="A74" s="3" t="s">
        <v>70</v>
      </c>
    </row>
    <row r="75" spans="1:2" outlineLevel="1" x14ac:dyDescent="0.25">
      <c r="A75" s="4" t="s">
        <v>71</v>
      </c>
      <c r="B75" s="11">
        <v>3.5</v>
      </c>
    </row>
    <row r="76" spans="1:2" outlineLevel="1" x14ac:dyDescent="0.25">
      <c r="A76" s="4" t="s">
        <v>72</v>
      </c>
      <c r="B76" s="11">
        <v>25463</v>
      </c>
    </row>
    <row r="77" spans="1:2" outlineLevel="2" x14ac:dyDescent="0.25">
      <c r="A77" s="5" t="s">
        <v>61</v>
      </c>
      <c r="B77" s="11">
        <v>5917.13</v>
      </c>
    </row>
    <row r="78" spans="1:2" outlineLevel="1" x14ac:dyDescent="0.25">
      <c r="A78" s="6" t="s">
        <v>73</v>
      </c>
      <c r="B78" s="12">
        <f>B76+B77</f>
        <v>31380.13</v>
      </c>
    </row>
    <row r="79" spans="1:2" x14ac:dyDescent="0.25">
      <c r="A79" s="9" t="s">
        <v>74</v>
      </c>
      <c r="B79" s="12">
        <f>B75+B78</f>
        <v>31383.63</v>
      </c>
    </row>
    <row r="80" spans="1:2" x14ac:dyDescent="0.25">
      <c r="A80" s="3" t="s">
        <v>75</v>
      </c>
      <c r="B80" s="13"/>
    </row>
    <row r="81" spans="1:2" x14ac:dyDescent="0.25">
      <c r="A81" s="9" t="s">
        <v>76</v>
      </c>
      <c r="B81" s="12">
        <f>B79-B80</f>
        <v>31383.63</v>
      </c>
    </row>
    <row r="82" spans="1:2" x14ac:dyDescent="0.25">
      <c r="A82" s="9" t="s">
        <v>77</v>
      </c>
      <c r="B82" s="12">
        <f>B73+B81</f>
        <v>38709.010000000009</v>
      </c>
    </row>
    <row r="86" spans="1:2" x14ac:dyDescent="0.25">
      <c r="A86" s="33" t="s">
        <v>166</v>
      </c>
      <c r="B86" s="30"/>
    </row>
  </sheetData>
  <mergeCells count="4">
    <mergeCell ref="A1:B1"/>
    <mergeCell ref="A2:B2"/>
    <mergeCell ref="A3:B3"/>
    <mergeCell ref="A86:B86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0208-7D1B-4279-8E84-E50AF7412CB7}">
  <dimension ref="A1:B69"/>
  <sheetViews>
    <sheetView workbookViewId="0">
      <selection activeCell="C10" sqref="C10"/>
    </sheetView>
  </sheetViews>
  <sheetFormatPr defaultColWidth="11.25" defaultRowHeight="15.75" outlineLevelRow="3" x14ac:dyDescent="0.25"/>
  <cols>
    <col min="1" max="1" width="33.25" style="1" customWidth="1"/>
    <col min="2" max="2" width="16.125" style="1" customWidth="1"/>
  </cols>
  <sheetData>
    <row r="1" spans="1:2" x14ac:dyDescent="0.25">
      <c r="A1" s="29" t="s">
        <v>0</v>
      </c>
      <c r="B1" s="30"/>
    </row>
    <row r="2" spans="1:2" x14ac:dyDescent="0.25">
      <c r="A2" s="31" t="s">
        <v>1</v>
      </c>
      <c r="B2" s="30"/>
    </row>
    <row r="3" spans="1:2" x14ac:dyDescent="0.25">
      <c r="A3" s="32" t="s">
        <v>165</v>
      </c>
      <c r="B3" s="30"/>
    </row>
    <row r="5" spans="1:2" x14ac:dyDescent="0.25">
      <c r="A5" s="10" t="s">
        <v>78</v>
      </c>
      <c r="B5" s="10" t="s">
        <v>79</v>
      </c>
    </row>
    <row r="6" spans="1:2" x14ac:dyDescent="0.25">
      <c r="A6" s="3" t="s">
        <v>3</v>
      </c>
    </row>
    <row r="7" spans="1:2" outlineLevel="1" x14ac:dyDescent="0.25">
      <c r="A7" s="4" t="s">
        <v>4</v>
      </c>
      <c r="B7" s="11">
        <v>0</v>
      </c>
    </row>
    <row r="8" spans="1:2" outlineLevel="2" x14ac:dyDescent="0.25">
      <c r="A8" s="5" t="s">
        <v>5</v>
      </c>
      <c r="B8" s="11">
        <v>719.35</v>
      </c>
    </row>
    <row r="9" spans="1:2" outlineLevel="2" x14ac:dyDescent="0.25">
      <c r="A9" s="5" t="s">
        <v>6</v>
      </c>
      <c r="B9" s="11">
        <v>400</v>
      </c>
    </row>
    <row r="10" spans="1:2" outlineLevel="2" x14ac:dyDescent="0.25">
      <c r="A10" s="5" t="s">
        <v>7</v>
      </c>
      <c r="B10" s="11">
        <v>39457.980000000003</v>
      </c>
    </row>
    <row r="11" spans="1:2" outlineLevel="2" x14ac:dyDescent="0.25">
      <c r="A11" s="5" t="s">
        <v>10</v>
      </c>
      <c r="B11" s="11">
        <v>22690</v>
      </c>
    </row>
    <row r="12" spans="1:2" outlineLevel="1" x14ac:dyDescent="0.25">
      <c r="A12" s="6" t="s">
        <v>11</v>
      </c>
      <c r="B12" s="12">
        <f>B7+B8+B9+B10+B11</f>
        <v>63267.33</v>
      </c>
    </row>
    <row r="13" spans="1:2" outlineLevel="1" x14ac:dyDescent="0.25">
      <c r="A13" s="4" t="s">
        <v>12</v>
      </c>
      <c r="B13" s="11">
        <v>0</v>
      </c>
    </row>
    <row r="14" spans="1:2" outlineLevel="2" x14ac:dyDescent="0.25">
      <c r="A14" s="5" t="s">
        <v>14</v>
      </c>
      <c r="B14" s="11">
        <v>9850</v>
      </c>
    </row>
    <row r="15" spans="1:2" outlineLevel="2" x14ac:dyDescent="0.25">
      <c r="A15" s="5" t="s">
        <v>15</v>
      </c>
      <c r="B15" s="11">
        <v>-7072</v>
      </c>
    </row>
    <row r="16" spans="1:2" outlineLevel="2" x14ac:dyDescent="0.25">
      <c r="A16" s="5" t="s">
        <v>16</v>
      </c>
      <c r="B16" s="11">
        <v>116.22</v>
      </c>
    </row>
    <row r="17" spans="1:2" outlineLevel="2" x14ac:dyDescent="0.25">
      <c r="A17" s="5" t="s">
        <v>21</v>
      </c>
      <c r="B17" s="11">
        <v>0</v>
      </c>
    </row>
    <row r="18" spans="1:2" outlineLevel="3" x14ac:dyDescent="0.25">
      <c r="A18" s="7" t="s">
        <v>24</v>
      </c>
      <c r="B18" s="11">
        <v>203.71</v>
      </c>
    </row>
    <row r="19" spans="1:2" outlineLevel="2" x14ac:dyDescent="0.25">
      <c r="A19" s="8" t="s">
        <v>25</v>
      </c>
      <c r="B19" s="12">
        <f>B17+B18</f>
        <v>203.71</v>
      </c>
    </row>
    <row r="20" spans="1:2" outlineLevel="1" x14ac:dyDescent="0.25">
      <c r="A20" s="6" t="s">
        <v>31</v>
      </c>
      <c r="B20" s="12">
        <f>B13+B14+B15+B16+B19</f>
        <v>3097.93</v>
      </c>
    </row>
    <row r="21" spans="1:2" x14ac:dyDescent="0.25">
      <c r="A21" s="9" t="s">
        <v>32</v>
      </c>
      <c r="B21" s="12">
        <f>B12+B20</f>
        <v>66365.259999999995</v>
      </c>
    </row>
    <row r="22" spans="1:2" x14ac:dyDescent="0.25">
      <c r="A22" s="3" t="s">
        <v>33</v>
      </c>
      <c r="B22" s="13"/>
    </row>
    <row r="23" spans="1:2" x14ac:dyDescent="0.25">
      <c r="A23" s="9" t="s">
        <v>34</v>
      </c>
      <c r="B23" s="12">
        <f>B21-B22</f>
        <v>66365.259999999995</v>
      </c>
    </row>
    <row r="24" spans="1:2" x14ac:dyDescent="0.25">
      <c r="A24" s="3" t="s">
        <v>35</v>
      </c>
    </row>
    <row r="25" spans="1:2" outlineLevel="1" x14ac:dyDescent="0.25">
      <c r="A25" s="4" t="s">
        <v>36</v>
      </c>
      <c r="B25" s="11">
        <v>688.46</v>
      </c>
    </row>
    <row r="26" spans="1:2" outlineLevel="2" x14ac:dyDescent="0.25">
      <c r="A26" s="5" t="s">
        <v>37</v>
      </c>
      <c r="B26" s="11">
        <v>9500</v>
      </c>
    </row>
    <row r="27" spans="1:2" outlineLevel="2" x14ac:dyDescent="0.25">
      <c r="A27" s="5" t="s">
        <v>38</v>
      </c>
      <c r="B27" s="11">
        <v>86.55</v>
      </c>
    </row>
    <row r="28" spans="1:2" outlineLevel="2" x14ac:dyDescent="0.25">
      <c r="A28" s="5" t="s">
        <v>39</v>
      </c>
      <c r="B28" s="11">
        <v>115</v>
      </c>
    </row>
    <row r="29" spans="1:2" outlineLevel="1" x14ac:dyDescent="0.25">
      <c r="A29" s="6" t="s">
        <v>40</v>
      </c>
      <c r="B29" s="12">
        <f>B25+B26+B27+B28</f>
        <v>10390.009999999998</v>
      </c>
    </row>
    <row r="30" spans="1:2" outlineLevel="1" x14ac:dyDescent="0.25">
      <c r="A30" s="4" t="s">
        <v>41</v>
      </c>
      <c r="B30" s="11">
        <v>0</v>
      </c>
    </row>
    <row r="31" spans="1:2" outlineLevel="2" x14ac:dyDescent="0.25">
      <c r="A31" s="5" t="s">
        <v>43</v>
      </c>
      <c r="B31" s="11">
        <v>9392.5</v>
      </c>
    </row>
    <row r="32" spans="1:2" outlineLevel="2" x14ac:dyDescent="0.25">
      <c r="A32" s="5" t="s">
        <v>44</v>
      </c>
      <c r="B32" s="11">
        <v>631.85</v>
      </c>
    </row>
    <row r="33" spans="1:2" outlineLevel="1" x14ac:dyDescent="0.25">
      <c r="A33" s="6" t="s">
        <v>45</v>
      </c>
      <c r="B33" s="12">
        <f>B30+B31+B32</f>
        <v>10024.35</v>
      </c>
    </row>
    <row r="34" spans="1:2" outlineLevel="1" x14ac:dyDescent="0.25">
      <c r="A34" s="4" t="s">
        <v>46</v>
      </c>
      <c r="B34" s="11">
        <v>0</v>
      </c>
    </row>
    <row r="35" spans="1:2" outlineLevel="2" x14ac:dyDescent="0.25">
      <c r="A35" s="5" t="s">
        <v>47</v>
      </c>
      <c r="B35" s="11">
        <v>8942.68</v>
      </c>
    </row>
    <row r="36" spans="1:2" outlineLevel="2" x14ac:dyDescent="0.25">
      <c r="A36" s="5" t="s">
        <v>48</v>
      </c>
      <c r="B36" s="11">
        <v>8523.59</v>
      </c>
    </row>
    <row r="37" spans="1:2" outlineLevel="2" x14ac:dyDescent="0.25">
      <c r="A37" s="5" t="s">
        <v>49</v>
      </c>
      <c r="B37" s="11">
        <v>222.41</v>
      </c>
    </row>
    <row r="38" spans="1:2" outlineLevel="2" x14ac:dyDescent="0.25">
      <c r="A38" s="5" t="s">
        <v>50</v>
      </c>
      <c r="B38" s="11">
        <v>90</v>
      </c>
    </row>
    <row r="39" spans="1:2" outlineLevel="2" x14ac:dyDescent="0.25">
      <c r="A39" s="5" t="s">
        <v>51</v>
      </c>
      <c r="B39" s="11">
        <v>102.99</v>
      </c>
    </row>
    <row r="40" spans="1:2" outlineLevel="2" x14ac:dyDescent="0.25">
      <c r="A40" s="5" t="s">
        <v>52</v>
      </c>
      <c r="B40" s="11">
        <v>1069.3900000000001</v>
      </c>
    </row>
    <row r="41" spans="1:2" outlineLevel="2" x14ac:dyDescent="0.25">
      <c r="A41" s="5" t="s">
        <v>53</v>
      </c>
      <c r="B41" s="11">
        <v>2333.54</v>
      </c>
    </row>
    <row r="42" spans="1:2" outlineLevel="3" x14ac:dyDescent="0.25">
      <c r="A42" s="7" t="s">
        <v>54</v>
      </c>
      <c r="B42" s="11">
        <v>5150</v>
      </c>
    </row>
    <row r="43" spans="1:2" outlineLevel="2" x14ac:dyDescent="0.25">
      <c r="A43" s="8" t="s">
        <v>55</v>
      </c>
      <c r="B43" s="12">
        <f>B41+B42</f>
        <v>7483.54</v>
      </c>
    </row>
    <row r="44" spans="1:2" outlineLevel="2" x14ac:dyDescent="0.25">
      <c r="A44" s="5" t="s">
        <v>58</v>
      </c>
      <c r="B44" s="11">
        <v>1166.8599999999999</v>
      </c>
    </row>
    <row r="45" spans="1:2" outlineLevel="2" x14ac:dyDescent="0.25">
      <c r="A45" s="5" t="s">
        <v>59</v>
      </c>
      <c r="B45" s="11">
        <v>23160.29</v>
      </c>
    </row>
    <row r="46" spans="1:2" outlineLevel="2" x14ac:dyDescent="0.25">
      <c r="A46" s="5" t="s">
        <v>60</v>
      </c>
      <c r="B46" s="11">
        <v>1386.88</v>
      </c>
    </row>
    <row r="47" spans="1:2" outlineLevel="3" x14ac:dyDescent="0.25">
      <c r="A47" s="7" t="s">
        <v>61</v>
      </c>
      <c r="B47" s="11">
        <v>24811.42</v>
      </c>
    </row>
    <row r="48" spans="1:2" outlineLevel="2" x14ac:dyDescent="0.25">
      <c r="A48" s="8" t="s">
        <v>62</v>
      </c>
      <c r="B48" s="12">
        <f>B46+B47</f>
        <v>26198.3</v>
      </c>
    </row>
    <row r="49" spans="1:2" outlineLevel="2" x14ac:dyDescent="0.25">
      <c r="A49" s="5" t="s">
        <v>63</v>
      </c>
      <c r="B49" s="11">
        <v>8410</v>
      </c>
    </row>
    <row r="50" spans="1:2" outlineLevel="1" x14ac:dyDescent="0.25">
      <c r="A50" s="6" t="s">
        <v>64</v>
      </c>
      <c r="B50" s="12">
        <f>B34+B35+B36+B37+B38+B39+B40+B43+B44+B45+B48+B49</f>
        <v>85370.05</v>
      </c>
    </row>
    <row r="51" spans="1:2" outlineLevel="1" x14ac:dyDescent="0.25">
      <c r="A51" s="4" t="s">
        <v>65</v>
      </c>
      <c r="B51" s="11">
        <v>0</v>
      </c>
    </row>
    <row r="52" spans="1:2" outlineLevel="2" x14ac:dyDescent="0.25">
      <c r="A52" s="5" t="s">
        <v>17</v>
      </c>
      <c r="B52" s="11">
        <v>491.42</v>
      </c>
    </row>
    <row r="53" spans="1:2" outlineLevel="2" x14ac:dyDescent="0.25">
      <c r="A53" s="5" t="s">
        <v>66</v>
      </c>
      <c r="B53" s="11">
        <v>848.81</v>
      </c>
    </row>
    <row r="54" spans="1:2" outlineLevel="1" x14ac:dyDescent="0.25">
      <c r="A54" s="6" t="s">
        <v>67</v>
      </c>
      <c r="B54" s="12">
        <f>B51+B52+B53</f>
        <v>1340.23</v>
      </c>
    </row>
    <row r="55" spans="1:2" x14ac:dyDescent="0.25">
      <c r="A55" s="9" t="s">
        <v>68</v>
      </c>
      <c r="B55" s="12">
        <f>B29+B33+B50+B54</f>
        <v>107124.64</v>
      </c>
    </row>
    <row r="56" spans="1:2" x14ac:dyDescent="0.25">
      <c r="A56" s="9" t="s">
        <v>69</v>
      </c>
      <c r="B56" s="12">
        <f>B23-B55</f>
        <v>-40759.380000000005</v>
      </c>
    </row>
    <row r="57" spans="1:2" x14ac:dyDescent="0.25">
      <c r="A57" s="3" t="s">
        <v>70</v>
      </c>
    </row>
    <row r="58" spans="1:2" outlineLevel="1" x14ac:dyDescent="0.25">
      <c r="A58" s="4" t="s">
        <v>71</v>
      </c>
      <c r="B58" s="11">
        <v>1.18</v>
      </c>
    </row>
    <row r="59" spans="1:2" outlineLevel="1" x14ac:dyDescent="0.25">
      <c r="A59" s="4" t="s">
        <v>72</v>
      </c>
      <c r="B59" s="11">
        <v>25418</v>
      </c>
    </row>
    <row r="60" spans="1:2" outlineLevel="2" x14ac:dyDescent="0.25">
      <c r="A60" s="5" t="s">
        <v>61</v>
      </c>
      <c r="B60" s="11">
        <v>5917.13</v>
      </c>
    </row>
    <row r="61" spans="1:2" outlineLevel="1" x14ac:dyDescent="0.25">
      <c r="A61" s="6" t="s">
        <v>73</v>
      </c>
      <c r="B61" s="12">
        <f>B59+B60</f>
        <v>31335.13</v>
      </c>
    </row>
    <row r="62" spans="1:2" x14ac:dyDescent="0.25">
      <c r="A62" s="9" t="s">
        <v>74</v>
      </c>
      <c r="B62" s="12">
        <f>B58+B61</f>
        <v>31336.31</v>
      </c>
    </row>
    <row r="63" spans="1:2" x14ac:dyDescent="0.25">
      <c r="A63" s="3" t="s">
        <v>75</v>
      </c>
      <c r="B63" s="13"/>
    </row>
    <row r="64" spans="1:2" x14ac:dyDescent="0.25">
      <c r="A64" s="9" t="s">
        <v>76</v>
      </c>
      <c r="B64" s="12">
        <f>B62-B63</f>
        <v>31336.31</v>
      </c>
    </row>
    <row r="65" spans="1:2" x14ac:dyDescent="0.25">
      <c r="A65" s="9" t="s">
        <v>77</v>
      </c>
      <c r="B65" s="12">
        <f>B56+B64</f>
        <v>-9423.0700000000033</v>
      </c>
    </row>
    <row r="69" spans="1:2" x14ac:dyDescent="0.25">
      <c r="A69" s="33" t="s">
        <v>167</v>
      </c>
      <c r="B69" s="30"/>
    </row>
  </sheetData>
  <mergeCells count="4">
    <mergeCell ref="A1:B1"/>
    <mergeCell ref="A2:B2"/>
    <mergeCell ref="A3:B3"/>
    <mergeCell ref="A69:B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424D-7C8C-4A61-A8A8-7F4DDE1CEBA4}">
  <dimension ref="A1:Q68"/>
  <sheetViews>
    <sheetView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E72" sqref="E72"/>
    </sheetView>
  </sheetViews>
  <sheetFormatPr defaultRowHeight="15.75" x14ac:dyDescent="0.25"/>
  <cols>
    <col min="1" max="1" width="34.75" customWidth="1"/>
    <col min="2" max="17" width="13.75" customWidth="1"/>
  </cols>
  <sheetData>
    <row r="1" spans="1:17" ht="18" x14ac:dyDescent="0.25">
      <c r="A1" s="34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8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x14ac:dyDescent="0.25">
      <c r="A3" s="36" t="s">
        <v>80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24.75" x14ac:dyDescent="0.25">
      <c r="A5" s="1"/>
      <c r="B5" s="16" t="s">
        <v>82</v>
      </c>
      <c r="C5" s="16" t="s">
        <v>84</v>
      </c>
      <c r="D5" s="16" t="s">
        <v>85</v>
      </c>
      <c r="E5" s="16" t="s">
        <v>87</v>
      </c>
      <c r="F5" s="16" t="s">
        <v>88</v>
      </c>
      <c r="G5" s="16" t="s">
        <v>90</v>
      </c>
      <c r="H5" s="16" t="s">
        <v>91</v>
      </c>
      <c r="I5" s="16" t="s">
        <v>94</v>
      </c>
      <c r="J5" s="16" t="s">
        <v>95</v>
      </c>
      <c r="K5" s="16" t="s">
        <v>96</v>
      </c>
      <c r="L5" s="16" t="s">
        <v>97</v>
      </c>
      <c r="M5" s="16" t="s">
        <v>98</v>
      </c>
      <c r="N5" s="16" t="s">
        <v>100</v>
      </c>
      <c r="O5" s="16" t="s">
        <v>101</v>
      </c>
      <c r="P5" s="16" t="s">
        <v>102</v>
      </c>
      <c r="Q5" s="16" t="s">
        <v>103</v>
      </c>
    </row>
    <row r="6" spans="1:17" x14ac:dyDescent="0.25">
      <c r="A6" s="17" t="s">
        <v>104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x14ac:dyDescent="0.25">
      <c r="A7" s="17" t="s">
        <v>105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>
        <f t="shared" ref="M7:M22" si="0">(K7)+(L7)</f>
        <v>0</v>
      </c>
      <c r="N7" s="18"/>
      <c r="O7" s="18"/>
      <c r="P7" s="18"/>
      <c r="Q7" s="19">
        <f t="shared" ref="Q7:Q22" si="1">((((((((((((B7)+(C7))+(D7))+(E7))+(F7))+(G7))+(H7))+(I7))+(J7))+(M7))+(N7))+(O7))+(P7)</f>
        <v>0</v>
      </c>
    </row>
    <row r="8" spans="1:17" x14ac:dyDescent="0.25">
      <c r="A8" s="17" t="s">
        <v>106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>
        <f>719.35</f>
        <v>719.35</v>
      </c>
      <c r="M8" s="19">
        <f t="shared" si="0"/>
        <v>719.35</v>
      </c>
      <c r="N8" s="18"/>
      <c r="O8" s="18"/>
      <c r="P8" s="18"/>
      <c r="Q8" s="19">
        <f t="shared" si="1"/>
        <v>719.35</v>
      </c>
    </row>
    <row r="9" spans="1:17" x14ac:dyDescent="0.25">
      <c r="A9" s="17" t="s">
        <v>107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>
        <f>400</f>
        <v>400</v>
      </c>
      <c r="M9" s="19">
        <f t="shared" si="0"/>
        <v>400</v>
      </c>
      <c r="N9" s="18"/>
      <c r="O9" s="18"/>
      <c r="P9" s="18"/>
      <c r="Q9" s="19">
        <f t="shared" si="1"/>
        <v>400</v>
      </c>
    </row>
    <row r="10" spans="1:17" x14ac:dyDescent="0.25">
      <c r="A10" s="17" t="s">
        <v>108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>
        <f>39457.98</f>
        <v>39457.980000000003</v>
      </c>
      <c r="M10" s="19">
        <f t="shared" si="0"/>
        <v>39457.980000000003</v>
      </c>
      <c r="N10" s="18"/>
      <c r="O10" s="18"/>
      <c r="P10" s="18"/>
      <c r="Q10" s="19">
        <f t="shared" si="1"/>
        <v>39457.980000000003</v>
      </c>
    </row>
    <row r="11" spans="1:17" x14ac:dyDescent="0.25">
      <c r="A11" s="17" t="s">
        <v>109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>
        <f>22690</f>
        <v>22690</v>
      </c>
      <c r="M11" s="19">
        <f t="shared" si="0"/>
        <v>22690</v>
      </c>
      <c r="N11" s="18"/>
      <c r="O11" s="18"/>
      <c r="P11" s="18"/>
      <c r="Q11" s="19">
        <f t="shared" si="1"/>
        <v>22690</v>
      </c>
    </row>
    <row r="12" spans="1:17" x14ac:dyDescent="0.25">
      <c r="A12" s="17" t="s">
        <v>110</v>
      </c>
      <c r="B12" s="20">
        <f t="shared" ref="B12:L12" si="2">((((B7)+(B8))+(B9))+(B10))+(B11)</f>
        <v>0</v>
      </c>
      <c r="C12" s="20">
        <f t="shared" si="2"/>
        <v>0</v>
      </c>
      <c r="D12" s="20">
        <f t="shared" si="2"/>
        <v>0</v>
      </c>
      <c r="E12" s="20">
        <f t="shared" si="2"/>
        <v>0</v>
      </c>
      <c r="F12" s="20">
        <f t="shared" si="2"/>
        <v>0</v>
      </c>
      <c r="G12" s="20">
        <f t="shared" si="2"/>
        <v>0</v>
      </c>
      <c r="H12" s="20">
        <f t="shared" si="2"/>
        <v>0</v>
      </c>
      <c r="I12" s="20">
        <f t="shared" si="2"/>
        <v>0</v>
      </c>
      <c r="J12" s="20">
        <f t="shared" si="2"/>
        <v>0</v>
      </c>
      <c r="K12" s="20">
        <f t="shared" si="2"/>
        <v>0</v>
      </c>
      <c r="L12" s="20">
        <f t="shared" si="2"/>
        <v>63267.33</v>
      </c>
      <c r="M12" s="20">
        <f t="shared" si="0"/>
        <v>63267.33</v>
      </c>
      <c r="N12" s="20">
        <f>((((N7)+(N8))+(N9))+(N10))+(N11)</f>
        <v>0</v>
      </c>
      <c r="O12" s="20">
        <f>((((O7)+(O8))+(O9))+(O10))+(O11)</f>
        <v>0</v>
      </c>
      <c r="P12" s="20">
        <f>((((P7)+(P8))+(P9))+(P10))+(P11)</f>
        <v>0</v>
      </c>
      <c r="Q12" s="20">
        <f t="shared" si="1"/>
        <v>63267.33</v>
      </c>
    </row>
    <row r="13" spans="1:17" x14ac:dyDescent="0.25">
      <c r="A13" s="17" t="s">
        <v>111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>
        <f t="shared" si="0"/>
        <v>0</v>
      </c>
      <c r="N13" s="18"/>
      <c r="O13" s="18"/>
      <c r="P13" s="18"/>
      <c r="Q13" s="19">
        <f t="shared" si="1"/>
        <v>0</v>
      </c>
    </row>
    <row r="14" spans="1:17" x14ac:dyDescent="0.25">
      <c r="A14" s="17" t="s">
        <v>112</v>
      </c>
      <c r="B14" s="18"/>
      <c r="C14" s="19">
        <f>9850</f>
        <v>9850</v>
      </c>
      <c r="D14" s="18"/>
      <c r="E14" s="18"/>
      <c r="F14" s="18"/>
      <c r="G14" s="18"/>
      <c r="H14" s="18"/>
      <c r="I14" s="18"/>
      <c r="J14" s="18"/>
      <c r="K14" s="18"/>
      <c r="L14" s="18"/>
      <c r="M14" s="19">
        <f t="shared" si="0"/>
        <v>0</v>
      </c>
      <c r="N14" s="18"/>
      <c r="O14" s="18"/>
      <c r="P14" s="18"/>
      <c r="Q14" s="19">
        <f t="shared" si="1"/>
        <v>9850</v>
      </c>
    </row>
    <row r="15" spans="1:17" x14ac:dyDescent="0.25">
      <c r="A15" s="17" t="s">
        <v>113</v>
      </c>
      <c r="B15" s="18"/>
      <c r="C15" s="19">
        <f>-7072</f>
        <v>-7072</v>
      </c>
      <c r="D15" s="18"/>
      <c r="E15" s="18"/>
      <c r="F15" s="18"/>
      <c r="G15" s="18"/>
      <c r="H15" s="18"/>
      <c r="I15" s="18"/>
      <c r="J15" s="18"/>
      <c r="K15" s="18"/>
      <c r="L15" s="18"/>
      <c r="M15" s="19">
        <f t="shared" si="0"/>
        <v>0</v>
      </c>
      <c r="N15" s="18"/>
      <c r="O15" s="18"/>
      <c r="P15" s="18"/>
      <c r="Q15" s="19">
        <f t="shared" si="1"/>
        <v>-7072</v>
      </c>
    </row>
    <row r="16" spans="1:17" x14ac:dyDescent="0.25">
      <c r="A16" s="17" t="s">
        <v>114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>
        <f t="shared" si="0"/>
        <v>0</v>
      </c>
      <c r="N16" s="19">
        <f>116.22</f>
        <v>116.22</v>
      </c>
      <c r="O16" s="18"/>
      <c r="P16" s="18"/>
      <c r="Q16" s="19">
        <f t="shared" si="1"/>
        <v>116.22</v>
      </c>
    </row>
    <row r="17" spans="1:17" x14ac:dyDescent="0.25">
      <c r="A17" s="17" t="s">
        <v>116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>
        <f t="shared" si="0"/>
        <v>0</v>
      </c>
      <c r="N17" s="18"/>
      <c r="O17" s="18"/>
      <c r="P17" s="18"/>
      <c r="Q17" s="19">
        <f t="shared" si="1"/>
        <v>0</v>
      </c>
    </row>
    <row r="18" spans="1:17" x14ac:dyDescent="0.25">
      <c r="A18" s="17" t="s">
        <v>117</v>
      </c>
      <c r="B18" s="18"/>
      <c r="C18" s="18"/>
      <c r="D18" s="18"/>
      <c r="E18" s="18"/>
      <c r="F18" s="19">
        <f>203.71</f>
        <v>203.71</v>
      </c>
      <c r="G18" s="18"/>
      <c r="H18" s="18"/>
      <c r="I18" s="18"/>
      <c r="J18" s="18"/>
      <c r="K18" s="18"/>
      <c r="L18" s="18"/>
      <c r="M18" s="19">
        <f t="shared" si="0"/>
        <v>0</v>
      </c>
      <c r="N18" s="18"/>
      <c r="O18" s="18"/>
      <c r="P18" s="18"/>
      <c r="Q18" s="19">
        <f t="shared" si="1"/>
        <v>203.71</v>
      </c>
    </row>
    <row r="19" spans="1:17" x14ac:dyDescent="0.25">
      <c r="A19" s="17" t="s">
        <v>118</v>
      </c>
      <c r="B19" s="20">
        <f t="shared" ref="B19:L19" si="3">(B17)+(B18)</f>
        <v>0</v>
      </c>
      <c r="C19" s="20">
        <f t="shared" si="3"/>
        <v>0</v>
      </c>
      <c r="D19" s="20">
        <f t="shared" si="3"/>
        <v>0</v>
      </c>
      <c r="E19" s="20">
        <f t="shared" si="3"/>
        <v>0</v>
      </c>
      <c r="F19" s="20">
        <f t="shared" si="3"/>
        <v>203.71</v>
      </c>
      <c r="G19" s="20">
        <f t="shared" si="3"/>
        <v>0</v>
      </c>
      <c r="H19" s="20">
        <f t="shared" si="3"/>
        <v>0</v>
      </c>
      <c r="I19" s="20">
        <f t="shared" si="3"/>
        <v>0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0"/>
        <v>0</v>
      </c>
      <c r="N19" s="20">
        <f>(N17)+(N18)</f>
        <v>0</v>
      </c>
      <c r="O19" s="20">
        <f>(O17)+(O18)</f>
        <v>0</v>
      </c>
      <c r="P19" s="20">
        <f>(P17)+(P18)</f>
        <v>0</v>
      </c>
      <c r="Q19" s="20">
        <f t="shared" si="1"/>
        <v>203.71</v>
      </c>
    </row>
    <row r="20" spans="1:17" x14ac:dyDescent="0.25">
      <c r="A20" s="17" t="s">
        <v>119</v>
      </c>
      <c r="B20" s="20">
        <f t="shared" ref="B20:L20" si="4">((((B13)+(B14))+(B15))+(B16))+(B19)</f>
        <v>0</v>
      </c>
      <c r="C20" s="20">
        <f t="shared" si="4"/>
        <v>2778</v>
      </c>
      <c r="D20" s="20">
        <f t="shared" si="4"/>
        <v>0</v>
      </c>
      <c r="E20" s="20">
        <f t="shared" si="4"/>
        <v>0</v>
      </c>
      <c r="F20" s="20">
        <f t="shared" si="4"/>
        <v>203.71</v>
      </c>
      <c r="G20" s="20">
        <f t="shared" si="4"/>
        <v>0</v>
      </c>
      <c r="H20" s="20">
        <f t="shared" si="4"/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 t="shared" si="4"/>
        <v>0</v>
      </c>
      <c r="M20" s="20">
        <f t="shared" si="0"/>
        <v>0</v>
      </c>
      <c r="N20" s="20">
        <f>((((N13)+(N14))+(N15))+(N16))+(N19)</f>
        <v>116.22</v>
      </c>
      <c r="O20" s="20">
        <f>((((O13)+(O14))+(O15))+(O16))+(O19)</f>
        <v>0</v>
      </c>
      <c r="P20" s="20">
        <f>((((P13)+(P14))+(P15))+(P16))+(P19)</f>
        <v>0</v>
      </c>
      <c r="Q20" s="20">
        <f t="shared" si="1"/>
        <v>3097.93</v>
      </c>
    </row>
    <row r="21" spans="1:17" x14ac:dyDescent="0.25">
      <c r="A21" s="17" t="s">
        <v>120</v>
      </c>
      <c r="B21" s="20">
        <f t="shared" ref="B21:L21" si="5">(B12)+(B20)</f>
        <v>0</v>
      </c>
      <c r="C21" s="20">
        <f t="shared" si="5"/>
        <v>2778</v>
      </c>
      <c r="D21" s="20">
        <f t="shared" si="5"/>
        <v>0</v>
      </c>
      <c r="E21" s="20">
        <f t="shared" si="5"/>
        <v>0</v>
      </c>
      <c r="F21" s="20">
        <f t="shared" si="5"/>
        <v>203.71</v>
      </c>
      <c r="G21" s="20">
        <f t="shared" si="5"/>
        <v>0</v>
      </c>
      <c r="H21" s="20">
        <f t="shared" si="5"/>
        <v>0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63267.33</v>
      </c>
      <c r="M21" s="20">
        <f t="shared" si="0"/>
        <v>63267.33</v>
      </c>
      <c r="N21" s="20">
        <f>(N12)+(N20)</f>
        <v>116.22</v>
      </c>
      <c r="O21" s="20">
        <f>(O12)+(O20)</f>
        <v>0</v>
      </c>
      <c r="P21" s="20">
        <f>(P12)+(P20)</f>
        <v>0</v>
      </c>
      <c r="Q21" s="20">
        <f t="shared" si="1"/>
        <v>66365.260000000009</v>
      </c>
    </row>
    <row r="22" spans="1:17" x14ac:dyDescent="0.25">
      <c r="A22" s="17" t="s">
        <v>34</v>
      </c>
      <c r="B22" s="20">
        <f t="shared" ref="B22:L22" si="6">(B21)-(0)</f>
        <v>0</v>
      </c>
      <c r="C22" s="20">
        <f t="shared" si="6"/>
        <v>2778</v>
      </c>
      <c r="D22" s="20">
        <f t="shared" si="6"/>
        <v>0</v>
      </c>
      <c r="E22" s="20">
        <f t="shared" si="6"/>
        <v>0</v>
      </c>
      <c r="F22" s="20">
        <f t="shared" si="6"/>
        <v>203.71</v>
      </c>
      <c r="G22" s="20">
        <f t="shared" si="6"/>
        <v>0</v>
      </c>
      <c r="H22" s="20">
        <f t="shared" si="6"/>
        <v>0</v>
      </c>
      <c r="I22" s="20">
        <f t="shared" si="6"/>
        <v>0</v>
      </c>
      <c r="J22" s="20">
        <f t="shared" si="6"/>
        <v>0</v>
      </c>
      <c r="K22" s="20">
        <f t="shared" si="6"/>
        <v>0</v>
      </c>
      <c r="L22" s="20">
        <f t="shared" si="6"/>
        <v>63267.33</v>
      </c>
      <c r="M22" s="20">
        <f t="shared" si="0"/>
        <v>63267.33</v>
      </c>
      <c r="N22" s="20">
        <f>(N21)-(0)</f>
        <v>116.22</v>
      </c>
      <c r="O22" s="20">
        <f>(O21)-(0)</f>
        <v>0</v>
      </c>
      <c r="P22" s="20">
        <f>(P21)-(0)</f>
        <v>0</v>
      </c>
      <c r="Q22" s="20">
        <f t="shared" si="1"/>
        <v>66365.260000000009</v>
      </c>
    </row>
    <row r="23" spans="1:17" x14ac:dyDescent="0.25">
      <c r="A23" s="17" t="s">
        <v>121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x14ac:dyDescent="0.25">
      <c r="A24" s="17" t="s">
        <v>122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>
        <f>688.46</f>
        <v>688.46</v>
      </c>
      <c r="M24" s="19">
        <f t="shared" ref="M24:M55" si="7">(K24)+(L24)</f>
        <v>688.46</v>
      </c>
      <c r="N24" s="18"/>
      <c r="O24" s="18"/>
      <c r="P24" s="18"/>
      <c r="Q24" s="19">
        <f t="shared" ref="Q24:Q55" si="8">((((((((((((B24)+(C24))+(D24))+(E24))+(F24))+(G24))+(H24))+(I24))+(J24))+(M24))+(N24))+(O24))+(P24)</f>
        <v>688.46</v>
      </c>
    </row>
    <row r="25" spans="1:17" x14ac:dyDescent="0.25">
      <c r="A25" s="17" t="s">
        <v>123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>
        <f>9500</f>
        <v>9500</v>
      </c>
      <c r="M25" s="19">
        <f t="shared" si="7"/>
        <v>9500</v>
      </c>
      <c r="N25" s="18"/>
      <c r="O25" s="18"/>
      <c r="P25" s="18"/>
      <c r="Q25" s="19">
        <f t="shared" si="8"/>
        <v>9500</v>
      </c>
    </row>
    <row r="26" spans="1:17" x14ac:dyDescent="0.25">
      <c r="A26" s="17" t="s">
        <v>124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>
        <f>86.55</f>
        <v>86.55</v>
      </c>
      <c r="M26" s="19">
        <f t="shared" si="7"/>
        <v>86.55</v>
      </c>
      <c r="N26" s="18"/>
      <c r="O26" s="18"/>
      <c r="P26" s="18"/>
      <c r="Q26" s="19">
        <f t="shared" si="8"/>
        <v>86.55</v>
      </c>
    </row>
    <row r="27" spans="1:17" x14ac:dyDescent="0.25">
      <c r="A27" s="17" t="s">
        <v>125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9">
        <f>115</f>
        <v>115</v>
      </c>
      <c r="M27" s="19">
        <f t="shared" si="7"/>
        <v>115</v>
      </c>
      <c r="N27" s="18"/>
      <c r="O27" s="18"/>
      <c r="P27" s="18"/>
      <c r="Q27" s="19">
        <f t="shared" si="8"/>
        <v>115</v>
      </c>
    </row>
    <row r="28" spans="1:17" x14ac:dyDescent="0.25">
      <c r="A28" s="17" t="s">
        <v>126</v>
      </c>
      <c r="B28" s="20">
        <f t="shared" ref="B28:L28" si="9">(((B24)+(B25))+(B26))+(B27)</f>
        <v>0</v>
      </c>
      <c r="C28" s="20">
        <f t="shared" si="9"/>
        <v>0</v>
      </c>
      <c r="D28" s="20">
        <f t="shared" si="9"/>
        <v>0</v>
      </c>
      <c r="E28" s="20">
        <f t="shared" si="9"/>
        <v>0</v>
      </c>
      <c r="F28" s="20">
        <f t="shared" si="9"/>
        <v>0</v>
      </c>
      <c r="G28" s="20">
        <f t="shared" si="9"/>
        <v>0</v>
      </c>
      <c r="H28" s="20">
        <f t="shared" si="9"/>
        <v>0</v>
      </c>
      <c r="I28" s="20">
        <f t="shared" si="9"/>
        <v>0</v>
      </c>
      <c r="J28" s="20">
        <f t="shared" si="9"/>
        <v>0</v>
      </c>
      <c r="K28" s="20">
        <f t="shared" si="9"/>
        <v>0</v>
      </c>
      <c r="L28" s="20">
        <f t="shared" si="9"/>
        <v>10390.009999999998</v>
      </c>
      <c r="M28" s="20">
        <f t="shared" si="7"/>
        <v>10390.009999999998</v>
      </c>
      <c r="N28" s="20">
        <f>(((N24)+(N25))+(N26))+(N27)</f>
        <v>0</v>
      </c>
      <c r="O28" s="20">
        <f>(((O24)+(O25))+(O26))+(O27)</f>
        <v>0</v>
      </c>
      <c r="P28" s="20">
        <f>(((P24)+(P25))+(P26))+(P27)</f>
        <v>0</v>
      </c>
      <c r="Q28" s="20">
        <f t="shared" si="8"/>
        <v>10390.009999999998</v>
      </c>
    </row>
    <row r="29" spans="1:17" x14ac:dyDescent="0.25">
      <c r="A29" s="17" t="s">
        <v>127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>
        <f t="shared" si="7"/>
        <v>0</v>
      </c>
      <c r="N29" s="18"/>
      <c r="O29" s="18"/>
      <c r="P29" s="18"/>
      <c r="Q29" s="19">
        <f t="shared" si="8"/>
        <v>0</v>
      </c>
    </row>
    <row r="30" spans="1:17" x14ac:dyDescent="0.25">
      <c r="A30" s="17" t="s">
        <v>128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>
        <f>9392.5</f>
        <v>9392.5</v>
      </c>
      <c r="M30" s="19">
        <f t="shared" si="7"/>
        <v>9392.5</v>
      </c>
      <c r="N30" s="18"/>
      <c r="O30" s="18"/>
      <c r="P30" s="18"/>
      <c r="Q30" s="19">
        <f t="shared" si="8"/>
        <v>9392.5</v>
      </c>
    </row>
    <row r="31" spans="1:17" x14ac:dyDescent="0.25">
      <c r="A31" s="17" t="s">
        <v>129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9">
        <f>631.85</f>
        <v>631.85</v>
      </c>
      <c r="M31" s="19">
        <f t="shared" si="7"/>
        <v>631.85</v>
      </c>
      <c r="N31" s="18"/>
      <c r="O31" s="18"/>
      <c r="P31" s="18"/>
      <c r="Q31" s="19">
        <f t="shared" si="8"/>
        <v>631.85</v>
      </c>
    </row>
    <row r="32" spans="1:17" x14ac:dyDescent="0.25">
      <c r="A32" s="17" t="s">
        <v>130</v>
      </c>
      <c r="B32" s="20">
        <f t="shared" ref="B32:L32" si="10">((B29)+(B30))+(B31)</f>
        <v>0</v>
      </c>
      <c r="C32" s="20">
        <f t="shared" si="10"/>
        <v>0</v>
      </c>
      <c r="D32" s="20">
        <f t="shared" si="10"/>
        <v>0</v>
      </c>
      <c r="E32" s="20">
        <f t="shared" si="10"/>
        <v>0</v>
      </c>
      <c r="F32" s="20">
        <f t="shared" si="10"/>
        <v>0</v>
      </c>
      <c r="G32" s="20">
        <f t="shared" si="10"/>
        <v>0</v>
      </c>
      <c r="H32" s="20">
        <f t="shared" si="10"/>
        <v>0</v>
      </c>
      <c r="I32" s="20">
        <f t="shared" si="10"/>
        <v>0</v>
      </c>
      <c r="J32" s="20">
        <f t="shared" si="10"/>
        <v>0</v>
      </c>
      <c r="K32" s="20">
        <f t="shared" si="10"/>
        <v>0</v>
      </c>
      <c r="L32" s="20">
        <f t="shared" si="10"/>
        <v>10024.35</v>
      </c>
      <c r="M32" s="20">
        <f t="shared" si="7"/>
        <v>10024.35</v>
      </c>
      <c r="N32" s="20">
        <f>((N29)+(N30))+(N31)</f>
        <v>0</v>
      </c>
      <c r="O32" s="20">
        <f>((O29)+(O30))+(O31)</f>
        <v>0</v>
      </c>
      <c r="P32" s="20">
        <f>((P29)+(P30))+(P31)</f>
        <v>0</v>
      </c>
      <c r="Q32" s="20">
        <f t="shared" si="8"/>
        <v>10024.35</v>
      </c>
    </row>
    <row r="33" spans="1:17" x14ac:dyDescent="0.25">
      <c r="A33" s="17" t="s">
        <v>131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>
        <f t="shared" si="7"/>
        <v>0</v>
      </c>
      <c r="N33" s="18"/>
      <c r="O33" s="18"/>
      <c r="P33" s="18"/>
      <c r="Q33" s="19">
        <f t="shared" si="8"/>
        <v>0</v>
      </c>
    </row>
    <row r="34" spans="1:17" x14ac:dyDescent="0.25">
      <c r="A34" s="17" t="s">
        <v>132</v>
      </c>
      <c r="B34" s="18"/>
      <c r="C34" s="19">
        <f>165.84</f>
        <v>165.84</v>
      </c>
      <c r="D34" s="18"/>
      <c r="E34" s="18"/>
      <c r="F34" s="19">
        <f>4873.53</f>
        <v>4873.53</v>
      </c>
      <c r="G34" s="18"/>
      <c r="H34" s="19">
        <f>3591.81</f>
        <v>3591.81</v>
      </c>
      <c r="I34" s="19">
        <f>311.5</f>
        <v>311.5</v>
      </c>
      <c r="J34" s="18"/>
      <c r="K34" s="18"/>
      <c r="L34" s="18"/>
      <c r="M34" s="19">
        <f t="shared" si="7"/>
        <v>0</v>
      </c>
      <c r="N34" s="18"/>
      <c r="O34" s="18"/>
      <c r="P34" s="18"/>
      <c r="Q34" s="19">
        <f t="shared" si="8"/>
        <v>8942.68</v>
      </c>
    </row>
    <row r="35" spans="1:17" x14ac:dyDescent="0.25">
      <c r="A35" s="17" t="s">
        <v>133</v>
      </c>
      <c r="B35" s="18"/>
      <c r="C35" s="18"/>
      <c r="D35" s="18"/>
      <c r="E35" s="18"/>
      <c r="F35" s="19">
        <f>8523.59</f>
        <v>8523.59</v>
      </c>
      <c r="G35" s="18"/>
      <c r="H35" s="18"/>
      <c r="I35" s="18"/>
      <c r="J35" s="18"/>
      <c r="K35" s="18"/>
      <c r="L35" s="18"/>
      <c r="M35" s="19">
        <f t="shared" si="7"/>
        <v>0</v>
      </c>
      <c r="N35" s="18"/>
      <c r="O35" s="18"/>
      <c r="P35" s="18"/>
      <c r="Q35" s="19">
        <f t="shared" si="8"/>
        <v>8523.59</v>
      </c>
    </row>
    <row r="36" spans="1:17" x14ac:dyDescent="0.25">
      <c r="A36" s="17" t="s">
        <v>134</v>
      </c>
      <c r="B36" s="18"/>
      <c r="C36" s="18"/>
      <c r="D36" s="18"/>
      <c r="E36" s="18"/>
      <c r="F36" s="18"/>
      <c r="G36" s="18"/>
      <c r="H36" s="18"/>
      <c r="I36" s="19">
        <f>45</f>
        <v>45</v>
      </c>
      <c r="J36" s="19">
        <f>45</f>
        <v>45</v>
      </c>
      <c r="K36" s="18"/>
      <c r="L36" s="18"/>
      <c r="M36" s="19">
        <f t="shared" si="7"/>
        <v>0</v>
      </c>
      <c r="N36" s="18"/>
      <c r="O36" s="18"/>
      <c r="P36" s="18"/>
      <c r="Q36" s="19">
        <f t="shared" si="8"/>
        <v>90</v>
      </c>
    </row>
    <row r="37" spans="1:17" x14ac:dyDescent="0.25">
      <c r="A37" s="17" t="s">
        <v>135</v>
      </c>
      <c r="B37" s="18"/>
      <c r="C37" s="18"/>
      <c r="D37" s="18"/>
      <c r="E37" s="18"/>
      <c r="F37" s="19">
        <f>53.74</f>
        <v>53.74</v>
      </c>
      <c r="G37" s="18"/>
      <c r="H37" s="18"/>
      <c r="I37" s="18"/>
      <c r="J37" s="18"/>
      <c r="K37" s="18"/>
      <c r="L37" s="18"/>
      <c r="M37" s="19">
        <f t="shared" si="7"/>
        <v>0</v>
      </c>
      <c r="N37" s="19">
        <f>168.67</f>
        <v>168.67</v>
      </c>
      <c r="O37" s="18"/>
      <c r="P37" s="18"/>
      <c r="Q37" s="19">
        <f t="shared" si="8"/>
        <v>222.41</v>
      </c>
    </row>
    <row r="38" spans="1:17" x14ac:dyDescent="0.25">
      <c r="A38" s="17" t="s">
        <v>136</v>
      </c>
      <c r="B38" s="18"/>
      <c r="C38" s="18"/>
      <c r="D38" s="18"/>
      <c r="E38" s="18"/>
      <c r="F38" s="18"/>
      <c r="G38" s="18"/>
      <c r="H38" s="18"/>
      <c r="I38" s="19">
        <f>102.99</f>
        <v>102.99</v>
      </c>
      <c r="J38" s="18"/>
      <c r="K38" s="18"/>
      <c r="L38" s="18"/>
      <c r="M38" s="19">
        <f t="shared" si="7"/>
        <v>0</v>
      </c>
      <c r="N38" s="18"/>
      <c r="O38" s="18"/>
      <c r="P38" s="18"/>
      <c r="Q38" s="19">
        <f t="shared" si="8"/>
        <v>102.99</v>
      </c>
    </row>
    <row r="39" spans="1:17" x14ac:dyDescent="0.25">
      <c r="A39" s="17" t="s">
        <v>137</v>
      </c>
      <c r="B39" s="18"/>
      <c r="C39" s="19">
        <f>300</f>
        <v>300</v>
      </c>
      <c r="D39" s="18"/>
      <c r="E39" s="18"/>
      <c r="F39" s="19">
        <f>769.39</f>
        <v>769.39</v>
      </c>
      <c r="G39" s="18"/>
      <c r="H39" s="18"/>
      <c r="I39" s="18"/>
      <c r="J39" s="18"/>
      <c r="K39" s="18"/>
      <c r="L39" s="18"/>
      <c r="M39" s="19">
        <f t="shared" si="7"/>
        <v>0</v>
      </c>
      <c r="N39" s="18"/>
      <c r="O39" s="18"/>
      <c r="P39" s="18"/>
      <c r="Q39" s="19">
        <f t="shared" si="8"/>
        <v>1069.3899999999999</v>
      </c>
    </row>
    <row r="40" spans="1:17" x14ac:dyDescent="0.25">
      <c r="A40" s="17" t="s">
        <v>138</v>
      </c>
      <c r="B40" s="18"/>
      <c r="C40" s="18"/>
      <c r="D40" s="18"/>
      <c r="E40" s="18"/>
      <c r="F40" s="18"/>
      <c r="G40" s="19">
        <f>2333.54</f>
        <v>2333.54</v>
      </c>
      <c r="H40" s="18"/>
      <c r="I40" s="18"/>
      <c r="J40" s="18"/>
      <c r="K40" s="18"/>
      <c r="L40" s="18"/>
      <c r="M40" s="19">
        <f t="shared" si="7"/>
        <v>0</v>
      </c>
      <c r="N40" s="18"/>
      <c r="O40" s="18"/>
      <c r="P40" s="18"/>
      <c r="Q40" s="19">
        <f t="shared" si="8"/>
        <v>2333.54</v>
      </c>
    </row>
    <row r="41" spans="1:17" x14ac:dyDescent="0.25">
      <c r="A41" s="17" t="s">
        <v>139</v>
      </c>
      <c r="B41" s="18"/>
      <c r="C41" s="19">
        <f>5150</f>
        <v>5150</v>
      </c>
      <c r="D41" s="18"/>
      <c r="E41" s="18"/>
      <c r="F41" s="18"/>
      <c r="G41" s="18"/>
      <c r="H41" s="18"/>
      <c r="I41" s="18"/>
      <c r="J41" s="18"/>
      <c r="K41" s="18"/>
      <c r="L41" s="18"/>
      <c r="M41" s="19">
        <f t="shared" si="7"/>
        <v>0</v>
      </c>
      <c r="N41" s="18"/>
      <c r="O41" s="18"/>
      <c r="P41" s="18"/>
      <c r="Q41" s="19">
        <f t="shared" si="8"/>
        <v>5150</v>
      </c>
    </row>
    <row r="42" spans="1:17" x14ac:dyDescent="0.25">
      <c r="A42" s="17" t="s">
        <v>140</v>
      </c>
      <c r="B42" s="20">
        <f t="shared" ref="B42:L42" si="11">(B40)+(B41)</f>
        <v>0</v>
      </c>
      <c r="C42" s="20">
        <f t="shared" si="11"/>
        <v>5150</v>
      </c>
      <c r="D42" s="20">
        <f t="shared" si="11"/>
        <v>0</v>
      </c>
      <c r="E42" s="20">
        <f t="shared" si="11"/>
        <v>0</v>
      </c>
      <c r="F42" s="20">
        <f t="shared" si="11"/>
        <v>0</v>
      </c>
      <c r="G42" s="20">
        <f t="shared" si="11"/>
        <v>2333.54</v>
      </c>
      <c r="H42" s="20">
        <f t="shared" si="11"/>
        <v>0</v>
      </c>
      <c r="I42" s="20">
        <f t="shared" si="11"/>
        <v>0</v>
      </c>
      <c r="J42" s="20">
        <f t="shared" si="11"/>
        <v>0</v>
      </c>
      <c r="K42" s="20">
        <f t="shared" si="11"/>
        <v>0</v>
      </c>
      <c r="L42" s="20">
        <f t="shared" si="11"/>
        <v>0</v>
      </c>
      <c r="M42" s="20">
        <f t="shared" si="7"/>
        <v>0</v>
      </c>
      <c r="N42" s="20">
        <f>(N40)+(N41)</f>
        <v>0</v>
      </c>
      <c r="O42" s="20">
        <f>(O40)+(O41)</f>
        <v>0</v>
      </c>
      <c r="P42" s="20">
        <f>(P40)+(P41)</f>
        <v>0</v>
      </c>
      <c r="Q42" s="20">
        <f t="shared" si="8"/>
        <v>7483.54</v>
      </c>
    </row>
    <row r="43" spans="1:17" x14ac:dyDescent="0.25">
      <c r="A43" s="17" t="s">
        <v>141</v>
      </c>
      <c r="B43" s="18"/>
      <c r="C43" s="18"/>
      <c r="D43" s="18"/>
      <c r="E43" s="18"/>
      <c r="F43" s="19">
        <f>1166.86</f>
        <v>1166.8599999999999</v>
      </c>
      <c r="G43" s="18"/>
      <c r="H43" s="18"/>
      <c r="I43" s="18"/>
      <c r="J43" s="18"/>
      <c r="K43" s="18"/>
      <c r="L43" s="18"/>
      <c r="M43" s="19">
        <f t="shared" si="7"/>
        <v>0</v>
      </c>
      <c r="N43" s="18"/>
      <c r="O43" s="18"/>
      <c r="P43" s="18"/>
      <c r="Q43" s="19">
        <f t="shared" si="8"/>
        <v>1166.8599999999999</v>
      </c>
    </row>
    <row r="44" spans="1:17" x14ac:dyDescent="0.25">
      <c r="A44" s="17" t="s">
        <v>142</v>
      </c>
      <c r="B44" s="19">
        <f>1800</f>
        <v>1800</v>
      </c>
      <c r="C44" s="18"/>
      <c r="D44" s="19">
        <f>21360.29</f>
        <v>21360.29</v>
      </c>
      <c r="E44" s="18"/>
      <c r="F44" s="18"/>
      <c r="G44" s="18"/>
      <c r="H44" s="18"/>
      <c r="I44" s="18"/>
      <c r="J44" s="18"/>
      <c r="K44" s="18"/>
      <c r="L44" s="18"/>
      <c r="M44" s="19">
        <f t="shared" si="7"/>
        <v>0</v>
      </c>
      <c r="N44" s="18"/>
      <c r="O44" s="18"/>
      <c r="P44" s="18"/>
      <c r="Q44" s="19">
        <f t="shared" si="8"/>
        <v>23160.29</v>
      </c>
    </row>
    <row r="45" spans="1:17" x14ac:dyDescent="0.25">
      <c r="A45" s="17" t="s">
        <v>143</v>
      </c>
      <c r="B45" s="18"/>
      <c r="C45" s="18"/>
      <c r="D45" s="18"/>
      <c r="E45" s="19">
        <f>1386.88</f>
        <v>1386.88</v>
      </c>
      <c r="F45" s="18"/>
      <c r="G45" s="18"/>
      <c r="H45" s="18"/>
      <c r="I45" s="18"/>
      <c r="J45" s="18"/>
      <c r="K45" s="18"/>
      <c r="L45" s="18"/>
      <c r="M45" s="19">
        <f t="shared" si="7"/>
        <v>0</v>
      </c>
      <c r="N45" s="18"/>
      <c r="O45" s="18"/>
      <c r="P45" s="18"/>
      <c r="Q45" s="19">
        <f t="shared" si="8"/>
        <v>1386.88</v>
      </c>
    </row>
    <row r="46" spans="1:17" x14ac:dyDescent="0.25">
      <c r="A46" s="17" t="s">
        <v>144</v>
      </c>
      <c r="B46" s="18"/>
      <c r="C46" s="18"/>
      <c r="D46" s="18"/>
      <c r="E46" s="18"/>
      <c r="F46" s="19">
        <f>23297.35</f>
        <v>23297.35</v>
      </c>
      <c r="G46" s="18"/>
      <c r="H46" s="18"/>
      <c r="I46" s="19">
        <f>1189.69</f>
        <v>1189.69</v>
      </c>
      <c r="J46" s="18"/>
      <c r="K46" s="18"/>
      <c r="L46" s="18"/>
      <c r="M46" s="19">
        <f t="shared" si="7"/>
        <v>0</v>
      </c>
      <c r="N46" s="19">
        <f>324.38</f>
        <v>324.38</v>
      </c>
      <c r="O46" s="18"/>
      <c r="P46" s="18"/>
      <c r="Q46" s="19">
        <f t="shared" si="8"/>
        <v>24811.42</v>
      </c>
    </row>
    <row r="47" spans="1:17" x14ac:dyDescent="0.25">
      <c r="A47" s="17" t="s">
        <v>145</v>
      </c>
      <c r="B47" s="20">
        <f t="shared" ref="B47:L47" si="12">(B45)+(B46)</f>
        <v>0</v>
      </c>
      <c r="C47" s="20">
        <f t="shared" si="12"/>
        <v>0</v>
      </c>
      <c r="D47" s="20">
        <f t="shared" si="12"/>
        <v>0</v>
      </c>
      <c r="E47" s="20">
        <f t="shared" si="12"/>
        <v>1386.88</v>
      </c>
      <c r="F47" s="20">
        <f t="shared" si="12"/>
        <v>23297.35</v>
      </c>
      <c r="G47" s="20">
        <f t="shared" si="12"/>
        <v>0</v>
      </c>
      <c r="H47" s="20">
        <f t="shared" si="12"/>
        <v>0</v>
      </c>
      <c r="I47" s="20">
        <f t="shared" si="12"/>
        <v>1189.69</v>
      </c>
      <c r="J47" s="20">
        <f t="shared" si="12"/>
        <v>0</v>
      </c>
      <c r="K47" s="20">
        <f t="shared" si="12"/>
        <v>0</v>
      </c>
      <c r="L47" s="20">
        <f t="shared" si="12"/>
        <v>0</v>
      </c>
      <c r="M47" s="20">
        <f t="shared" si="7"/>
        <v>0</v>
      </c>
      <c r="N47" s="20">
        <f>(N45)+(N46)</f>
        <v>324.38</v>
      </c>
      <c r="O47" s="20">
        <f>(O45)+(O46)</f>
        <v>0</v>
      </c>
      <c r="P47" s="20">
        <f>(P45)+(P46)</f>
        <v>0</v>
      </c>
      <c r="Q47" s="20">
        <f t="shared" si="8"/>
        <v>26198.3</v>
      </c>
    </row>
    <row r="48" spans="1:17" x14ac:dyDescent="0.25">
      <c r="A48" s="17" t="s">
        <v>146</v>
      </c>
      <c r="B48" s="19">
        <f>250</f>
        <v>250</v>
      </c>
      <c r="C48" s="18"/>
      <c r="D48" s="19">
        <f>660</f>
        <v>660</v>
      </c>
      <c r="E48" s="18"/>
      <c r="F48" s="18"/>
      <c r="G48" s="18"/>
      <c r="H48" s="18"/>
      <c r="I48" s="18"/>
      <c r="J48" s="18"/>
      <c r="K48" s="18"/>
      <c r="L48" s="18"/>
      <c r="M48" s="19">
        <f t="shared" si="7"/>
        <v>0</v>
      </c>
      <c r="N48" s="19">
        <f>2350</f>
        <v>2350</v>
      </c>
      <c r="O48" s="19">
        <f>3200</f>
        <v>3200</v>
      </c>
      <c r="P48" s="19">
        <f>1950</f>
        <v>1950</v>
      </c>
      <c r="Q48" s="19">
        <f t="shared" si="8"/>
        <v>8410</v>
      </c>
    </row>
    <row r="49" spans="1:17" x14ac:dyDescent="0.25">
      <c r="A49" s="17" t="s">
        <v>147</v>
      </c>
      <c r="B49" s="20">
        <f t="shared" ref="B49:L49" si="13">(((((((((((B33)+(B34))+(B35))+(B36))+(B37))+(B38))+(B39))+(B42))+(B43))+(B44))+(B47))+(B48)</f>
        <v>2050</v>
      </c>
      <c r="C49" s="20">
        <f t="shared" si="13"/>
        <v>5615.84</v>
      </c>
      <c r="D49" s="20">
        <f t="shared" si="13"/>
        <v>22020.29</v>
      </c>
      <c r="E49" s="20">
        <f t="shared" si="13"/>
        <v>1386.88</v>
      </c>
      <c r="F49" s="20">
        <f t="shared" si="13"/>
        <v>38684.46</v>
      </c>
      <c r="G49" s="20">
        <f t="shared" si="13"/>
        <v>2333.54</v>
      </c>
      <c r="H49" s="20">
        <f t="shared" si="13"/>
        <v>3591.81</v>
      </c>
      <c r="I49" s="20">
        <f t="shared" si="13"/>
        <v>1649.18</v>
      </c>
      <c r="J49" s="20">
        <f t="shared" si="13"/>
        <v>45</v>
      </c>
      <c r="K49" s="20">
        <f t="shared" si="13"/>
        <v>0</v>
      </c>
      <c r="L49" s="20">
        <f t="shared" si="13"/>
        <v>0</v>
      </c>
      <c r="M49" s="20">
        <f t="shared" si="7"/>
        <v>0</v>
      </c>
      <c r="N49" s="20">
        <f>(((((((((((N33)+(N34))+(N35))+(N36))+(N37))+(N38))+(N39))+(N42))+(N43))+(N44))+(N47))+(N48)</f>
        <v>2843.05</v>
      </c>
      <c r="O49" s="20">
        <f>(((((((((((O33)+(O34))+(O35))+(O36))+(O37))+(O38))+(O39))+(O42))+(O43))+(O44))+(O47))+(O48)</f>
        <v>3200</v>
      </c>
      <c r="P49" s="20">
        <f>(((((((((((P33)+(P34))+(P35))+(P36))+(P37))+(P38))+(P39))+(P42))+(P43))+(P44))+(P47))+(P48)</f>
        <v>1950</v>
      </c>
      <c r="Q49" s="20">
        <f t="shared" si="8"/>
        <v>85370.049999999988</v>
      </c>
    </row>
    <row r="50" spans="1:17" x14ac:dyDescent="0.25">
      <c r="A50" s="17" t="s">
        <v>148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9">
        <f t="shared" si="7"/>
        <v>0</v>
      </c>
      <c r="N50" s="18"/>
      <c r="O50" s="18"/>
      <c r="P50" s="18"/>
      <c r="Q50" s="19">
        <f t="shared" si="8"/>
        <v>0</v>
      </c>
    </row>
    <row r="51" spans="1:17" x14ac:dyDescent="0.25">
      <c r="A51" s="17" t="s">
        <v>115</v>
      </c>
      <c r="B51" s="18"/>
      <c r="C51" s="18"/>
      <c r="D51" s="18"/>
      <c r="E51" s="18"/>
      <c r="F51" s="19">
        <f>491.42</f>
        <v>491.42</v>
      </c>
      <c r="G51" s="18"/>
      <c r="H51" s="18"/>
      <c r="I51" s="18"/>
      <c r="J51" s="18"/>
      <c r="K51" s="18"/>
      <c r="L51" s="18"/>
      <c r="M51" s="19">
        <f t="shared" si="7"/>
        <v>0</v>
      </c>
      <c r="N51" s="18"/>
      <c r="O51" s="18"/>
      <c r="P51" s="18"/>
      <c r="Q51" s="19">
        <f t="shared" si="8"/>
        <v>491.42</v>
      </c>
    </row>
    <row r="52" spans="1:17" x14ac:dyDescent="0.25">
      <c r="A52" s="17" t="s">
        <v>149</v>
      </c>
      <c r="B52" s="18"/>
      <c r="C52" s="18"/>
      <c r="D52" s="18"/>
      <c r="E52" s="18"/>
      <c r="F52" s="19">
        <f>848.81</f>
        <v>848.81</v>
      </c>
      <c r="G52" s="18"/>
      <c r="H52" s="18"/>
      <c r="I52" s="18"/>
      <c r="J52" s="18"/>
      <c r="K52" s="18"/>
      <c r="L52" s="18"/>
      <c r="M52" s="19">
        <f t="shared" si="7"/>
        <v>0</v>
      </c>
      <c r="N52" s="18"/>
      <c r="O52" s="18"/>
      <c r="P52" s="18"/>
      <c r="Q52" s="19">
        <f t="shared" si="8"/>
        <v>848.81</v>
      </c>
    </row>
    <row r="53" spans="1:17" x14ac:dyDescent="0.25">
      <c r="A53" s="17" t="s">
        <v>150</v>
      </c>
      <c r="B53" s="20">
        <f t="shared" ref="B53:L53" si="14">((B50)+(B51))+(B52)</f>
        <v>0</v>
      </c>
      <c r="C53" s="20">
        <f t="shared" si="14"/>
        <v>0</v>
      </c>
      <c r="D53" s="20">
        <f t="shared" si="14"/>
        <v>0</v>
      </c>
      <c r="E53" s="20">
        <f t="shared" si="14"/>
        <v>0</v>
      </c>
      <c r="F53" s="20">
        <f t="shared" si="14"/>
        <v>1340.23</v>
      </c>
      <c r="G53" s="20">
        <f t="shared" si="14"/>
        <v>0</v>
      </c>
      <c r="H53" s="20">
        <f t="shared" si="14"/>
        <v>0</v>
      </c>
      <c r="I53" s="20">
        <f t="shared" si="14"/>
        <v>0</v>
      </c>
      <c r="J53" s="20">
        <f t="shared" si="14"/>
        <v>0</v>
      </c>
      <c r="K53" s="20">
        <f t="shared" si="14"/>
        <v>0</v>
      </c>
      <c r="L53" s="20">
        <f t="shared" si="14"/>
        <v>0</v>
      </c>
      <c r="M53" s="20">
        <f t="shared" si="7"/>
        <v>0</v>
      </c>
      <c r="N53" s="20">
        <f>((N50)+(N51))+(N52)</f>
        <v>0</v>
      </c>
      <c r="O53" s="20">
        <f>((O50)+(O51))+(O52)</f>
        <v>0</v>
      </c>
      <c r="P53" s="20">
        <f>((P50)+(P51))+(P52)</f>
        <v>0</v>
      </c>
      <c r="Q53" s="20">
        <f t="shared" si="8"/>
        <v>1340.23</v>
      </c>
    </row>
    <row r="54" spans="1:17" x14ac:dyDescent="0.25">
      <c r="A54" s="17" t="s">
        <v>151</v>
      </c>
      <c r="B54" s="20">
        <f t="shared" ref="B54:L54" si="15">(((B28)+(B32))+(B49))+(B53)</f>
        <v>2050</v>
      </c>
      <c r="C54" s="20">
        <f t="shared" si="15"/>
        <v>5615.84</v>
      </c>
      <c r="D54" s="20">
        <f t="shared" si="15"/>
        <v>22020.29</v>
      </c>
      <c r="E54" s="20">
        <f t="shared" si="15"/>
        <v>1386.88</v>
      </c>
      <c r="F54" s="20">
        <f t="shared" si="15"/>
        <v>40024.69</v>
      </c>
      <c r="G54" s="20">
        <f t="shared" si="15"/>
        <v>2333.54</v>
      </c>
      <c r="H54" s="20">
        <f t="shared" si="15"/>
        <v>3591.81</v>
      </c>
      <c r="I54" s="20">
        <f t="shared" si="15"/>
        <v>1649.18</v>
      </c>
      <c r="J54" s="20">
        <f t="shared" si="15"/>
        <v>45</v>
      </c>
      <c r="K54" s="20">
        <f t="shared" si="15"/>
        <v>0</v>
      </c>
      <c r="L54" s="20">
        <f t="shared" si="15"/>
        <v>20414.36</v>
      </c>
      <c r="M54" s="20">
        <f t="shared" si="7"/>
        <v>20414.36</v>
      </c>
      <c r="N54" s="20">
        <f>(((N28)+(N32))+(N49))+(N53)</f>
        <v>2843.05</v>
      </c>
      <c r="O54" s="20">
        <f>(((O28)+(O32))+(O49))+(O53)</f>
        <v>3200</v>
      </c>
      <c r="P54" s="20">
        <f>(((P28)+(P32))+(P49))+(P53)</f>
        <v>1950</v>
      </c>
      <c r="Q54" s="20">
        <f t="shared" si="8"/>
        <v>107124.64</v>
      </c>
    </row>
    <row r="55" spans="1:17" x14ac:dyDescent="0.25">
      <c r="A55" s="17" t="s">
        <v>152</v>
      </c>
      <c r="B55" s="20">
        <f t="shared" ref="B55:L55" si="16">(B22)-(B54)</f>
        <v>-2050</v>
      </c>
      <c r="C55" s="20">
        <f t="shared" si="16"/>
        <v>-2837.84</v>
      </c>
      <c r="D55" s="20">
        <f t="shared" si="16"/>
        <v>-22020.29</v>
      </c>
      <c r="E55" s="20">
        <f t="shared" si="16"/>
        <v>-1386.88</v>
      </c>
      <c r="F55" s="20">
        <f t="shared" si="16"/>
        <v>-39820.980000000003</v>
      </c>
      <c r="G55" s="20">
        <f t="shared" si="16"/>
        <v>-2333.54</v>
      </c>
      <c r="H55" s="20">
        <f t="shared" si="16"/>
        <v>-3591.81</v>
      </c>
      <c r="I55" s="20">
        <f t="shared" si="16"/>
        <v>-1649.18</v>
      </c>
      <c r="J55" s="20">
        <f t="shared" si="16"/>
        <v>-45</v>
      </c>
      <c r="K55" s="20">
        <f t="shared" si="16"/>
        <v>0</v>
      </c>
      <c r="L55" s="20">
        <f t="shared" si="16"/>
        <v>42852.97</v>
      </c>
      <c r="M55" s="20">
        <f t="shared" si="7"/>
        <v>42852.97</v>
      </c>
      <c r="N55" s="20">
        <f>(N22)-(N54)</f>
        <v>-2726.8300000000004</v>
      </c>
      <c r="O55" s="20">
        <f>(O22)-(O54)</f>
        <v>-3200</v>
      </c>
      <c r="P55" s="20">
        <f>(P22)-(P54)</f>
        <v>-1950</v>
      </c>
      <c r="Q55" s="20">
        <f t="shared" si="8"/>
        <v>-40759.37999999999</v>
      </c>
    </row>
    <row r="56" spans="1:17" x14ac:dyDescent="0.25">
      <c r="A56" s="17" t="s">
        <v>153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x14ac:dyDescent="0.25">
      <c r="A57" s="17" t="s">
        <v>154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9">
        <f>1.18</f>
        <v>1.18</v>
      </c>
      <c r="M57" s="19">
        <f t="shared" ref="M57:M63" si="17">(K57)+(L57)</f>
        <v>1.18</v>
      </c>
      <c r="N57" s="18"/>
      <c r="O57" s="18"/>
      <c r="P57" s="18"/>
      <c r="Q57" s="19">
        <f t="shared" ref="Q57:Q63" si="18">((((((((((((B57)+(C57))+(D57))+(E57))+(F57))+(G57))+(H57))+(I57))+(J57))+(M57))+(N57))+(O57))+(P57)</f>
        <v>1.18</v>
      </c>
    </row>
    <row r="58" spans="1:17" x14ac:dyDescent="0.25">
      <c r="A58" s="17" t="s">
        <v>155</v>
      </c>
      <c r="B58" s="18"/>
      <c r="C58" s="18"/>
      <c r="D58" s="19">
        <f>25418</f>
        <v>25418</v>
      </c>
      <c r="E58" s="18"/>
      <c r="F58" s="18"/>
      <c r="G58" s="18"/>
      <c r="H58" s="18"/>
      <c r="I58" s="18"/>
      <c r="J58" s="18"/>
      <c r="K58" s="18"/>
      <c r="L58" s="18"/>
      <c r="M58" s="19">
        <f t="shared" si="17"/>
        <v>0</v>
      </c>
      <c r="N58" s="18"/>
      <c r="O58" s="18"/>
      <c r="P58" s="18"/>
      <c r="Q58" s="19">
        <f t="shared" si="18"/>
        <v>25418</v>
      </c>
    </row>
    <row r="59" spans="1:17" x14ac:dyDescent="0.25">
      <c r="A59" s="17" t="s">
        <v>156</v>
      </c>
      <c r="B59" s="18"/>
      <c r="C59" s="19">
        <f>814.13</f>
        <v>814.13</v>
      </c>
      <c r="D59" s="19">
        <f>5103</f>
        <v>5103</v>
      </c>
      <c r="E59" s="18"/>
      <c r="F59" s="18"/>
      <c r="G59" s="18"/>
      <c r="H59" s="18"/>
      <c r="I59" s="18"/>
      <c r="J59" s="18"/>
      <c r="K59" s="18"/>
      <c r="L59" s="18"/>
      <c r="M59" s="19">
        <f t="shared" si="17"/>
        <v>0</v>
      </c>
      <c r="N59" s="18"/>
      <c r="O59" s="18"/>
      <c r="P59" s="18"/>
      <c r="Q59" s="19">
        <f t="shared" si="18"/>
        <v>5917.13</v>
      </c>
    </row>
    <row r="60" spans="1:17" x14ac:dyDescent="0.25">
      <c r="A60" s="17" t="s">
        <v>157</v>
      </c>
      <c r="B60" s="20">
        <f t="shared" ref="B60:L60" si="19">(B58)+(B59)</f>
        <v>0</v>
      </c>
      <c r="C60" s="20">
        <f t="shared" si="19"/>
        <v>814.13</v>
      </c>
      <c r="D60" s="20">
        <f t="shared" si="19"/>
        <v>30521</v>
      </c>
      <c r="E60" s="20">
        <f t="shared" si="19"/>
        <v>0</v>
      </c>
      <c r="F60" s="20">
        <f t="shared" si="19"/>
        <v>0</v>
      </c>
      <c r="G60" s="20">
        <f t="shared" si="19"/>
        <v>0</v>
      </c>
      <c r="H60" s="20">
        <f t="shared" si="19"/>
        <v>0</v>
      </c>
      <c r="I60" s="20">
        <f t="shared" si="19"/>
        <v>0</v>
      </c>
      <c r="J60" s="20">
        <f t="shared" si="19"/>
        <v>0</v>
      </c>
      <c r="K60" s="20">
        <f t="shared" si="19"/>
        <v>0</v>
      </c>
      <c r="L60" s="20">
        <f t="shared" si="19"/>
        <v>0</v>
      </c>
      <c r="M60" s="20">
        <f t="shared" si="17"/>
        <v>0</v>
      </c>
      <c r="N60" s="20">
        <f>(N58)+(N59)</f>
        <v>0</v>
      </c>
      <c r="O60" s="20">
        <f>(O58)+(O59)</f>
        <v>0</v>
      </c>
      <c r="P60" s="20">
        <f>(P58)+(P59)</f>
        <v>0</v>
      </c>
      <c r="Q60" s="20">
        <f t="shared" si="18"/>
        <v>31335.13</v>
      </c>
    </row>
    <row r="61" spans="1:17" x14ac:dyDescent="0.25">
      <c r="A61" s="17" t="s">
        <v>158</v>
      </c>
      <c r="B61" s="20">
        <f t="shared" ref="B61:L61" si="20">(B57)+(B60)</f>
        <v>0</v>
      </c>
      <c r="C61" s="20">
        <f t="shared" si="20"/>
        <v>814.13</v>
      </c>
      <c r="D61" s="20">
        <f t="shared" si="20"/>
        <v>30521</v>
      </c>
      <c r="E61" s="20">
        <f t="shared" si="20"/>
        <v>0</v>
      </c>
      <c r="F61" s="20">
        <f t="shared" si="20"/>
        <v>0</v>
      </c>
      <c r="G61" s="20">
        <f t="shared" si="20"/>
        <v>0</v>
      </c>
      <c r="H61" s="20">
        <f t="shared" si="20"/>
        <v>0</v>
      </c>
      <c r="I61" s="20">
        <f t="shared" si="20"/>
        <v>0</v>
      </c>
      <c r="J61" s="20">
        <f t="shared" si="20"/>
        <v>0</v>
      </c>
      <c r="K61" s="20">
        <f t="shared" si="20"/>
        <v>0</v>
      </c>
      <c r="L61" s="20">
        <f t="shared" si="20"/>
        <v>1.18</v>
      </c>
      <c r="M61" s="20">
        <f t="shared" si="17"/>
        <v>1.18</v>
      </c>
      <c r="N61" s="20">
        <f>(N57)+(N60)</f>
        <v>0</v>
      </c>
      <c r="O61" s="20">
        <f>(O57)+(O60)</f>
        <v>0</v>
      </c>
      <c r="P61" s="20">
        <f>(P57)+(P60)</f>
        <v>0</v>
      </c>
      <c r="Q61" s="20">
        <f t="shared" si="18"/>
        <v>31336.31</v>
      </c>
    </row>
    <row r="62" spans="1:17" x14ac:dyDescent="0.25">
      <c r="A62" s="17" t="s">
        <v>159</v>
      </c>
      <c r="B62" s="20">
        <f t="shared" ref="B62:L62" si="21">(B61)-(0)</f>
        <v>0</v>
      </c>
      <c r="C62" s="20">
        <f t="shared" si="21"/>
        <v>814.13</v>
      </c>
      <c r="D62" s="20">
        <f t="shared" si="21"/>
        <v>30521</v>
      </c>
      <c r="E62" s="20">
        <f t="shared" si="21"/>
        <v>0</v>
      </c>
      <c r="F62" s="20">
        <f t="shared" si="21"/>
        <v>0</v>
      </c>
      <c r="G62" s="20">
        <f t="shared" si="21"/>
        <v>0</v>
      </c>
      <c r="H62" s="20">
        <f t="shared" si="21"/>
        <v>0</v>
      </c>
      <c r="I62" s="20">
        <f t="shared" si="21"/>
        <v>0</v>
      </c>
      <c r="J62" s="20">
        <f t="shared" si="21"/>
        <v>0</v>
      </c>
      <c r="K62" s="20">
        <f t="shared" si="21"/>
        <v>0</v>
      </c>
      <c r="L62" s="20">
        <f t="shared" si="21"/>
        <v>1.18</v>
      </c>
      <c r="M62" s="20">
        <f t="shared" si="17"/>
        <v>1.18</v>
      </c>
      <c r="N62" s="20">
        <f>(N61)-(0)</f>
        <v>0</v>
      </c>
      <c r="O62" s="20">
        <f>(O61)-(0)</f>
        <v>0</v>
      </c>
      <c r="P62" s="20">
        <f>(P61)-(0)</f>
        <v>0</v>
      </c>
      <c r="Q62" s="20">
        <f t="shared" si="18"/>
        <v>31336.31</v>
      </c>
    </row>
    <row r="63" spans="1:17" x14ac:dyDescent="0.25">
      <c r="A63" s="17" t="s">
        <v>160</v>
      </c>
      <c r="B63" s="20">
        <f t="shared" ref="B63:L63" si="22">(B55)+(B62)</f>
        <v>-2050</v>
      </c>
      <c r="C63" s="20">
        <f t="shared" si="22"/>
        <v>-2023.71</v>
      </c>
      <c r="D63" s="20">
        <f t="shared" si="22"/>
        <v>8500.7099999999991</v>
      </c>
      <c r="E63" s="20">
        <f t="shared" si="22"/>
        <v>-1386.88</v>
      </c>
      <c r="F63" s="20">
        <f t="shared" si="22"/>
        <v>-39820.980000000003</v>
      </c>
      <c r="G63" s="20">
        <f t="shared" si="22"/>
        <v>-2333.54</v>
      </c>
      <c r="H63" s="20">
        <f t="shared" si="22"/>
        <v>-3591.81</v>
      </c>
      <c r="I63" s="20">
        <f t="shared" si="22"/>
        <v>-1649.18</v>
      </c>
      <c r="J63" s="20">
        <f t="shared" si="22"/>
        <v>-45</v>
      </c>
      <c r="K63" s="20">
        <f t="shared" si="22"/>
        <v>0</v>
      </c>
      <c r="L63" s="20">
        <f t="shared" si="22"/>
        <v>42854.15</v>
      </c>
      <c r="M63" s="20">
        <f t="shared" si="17"/>
        <v>42854.15</v>
      </c>
      <c r="N63" s="20">
        <f>(N55)+(N62)</f>
        <v>-2726.8300000000004</v>
      </c>
      <c r="O63" s="20">
        <f>(O55)+(O62)</f>
        <v>-3200</v>
      </c>
      <c r="P63" s="20">
        <f>(P55)+(P62)</f>
        <v>-1950</v>
      </c>
      <c r="Q63" s="20">
        <f t="shared" si="18"/>
        <v>-9423.0699999999979</v>
      </c>
    </row>
    <row r="64" spans="1:17" s="22" customFormat="1" ht="12" x14ac:dyDescent="0.2">
      <c r="A64" s="21" t="s">
        <v>161</v>
      </c>
      <c r="B64" s="23">
        <v>8346.85</v>
      </c>
      <c r="C64" s="23">
        <v>7598.17</v>
      </c>
      <c r="D64" s="23">
        <v>250</v>
      </c>
      <c r="E64" s="23">
        <v>1702.1</v>
      </c>
      <c r="F64" s="23">
        <v>23128.240000000002</v>
      </c>
      <c r="G64" s="23">
        <v>10135.02</v>
      </c>
      <c r="H64" s="23">
        <v>16565.3</v>
      </c>
      <c r="I64" s="23">
        <v>4346.43</v>
      </c>
      <c r="J64" s="23">
        <v>8976.41</v>
      </c>
      <c r="K64" s="23"/>
      <c r="L64" s="23"/>
      <c r="M64" s="23"/>
      <c r="N64" s="23">
        <v>3228.55</v>
      </c>
      <c r="O64" s="23">
        <v>10345.280000000001</v>
      </c>
      <c r="P64" s="23">
        <v>6382.06</v>
      </c>
      <c r="Q64" s="23"/>
    </row>
    <row r="65" spans="1:17" s="22" customFormat="1" ht="12" x14ac:dyDescent="0.2">
      <c r="A65" s="22" t="s">
        <v>162</v>
      </c>
      <c r="B65" s="24">
        <v>0</v>
      </c>
      <c r="C65" s="24">
        <v>2100</v>
      </c>
      <c r="D65" s="24">
        <v>0</v>
      </c>
      <c r="E65" s="24">
        <v>0</v>
      </c>
      <c r="F65" s="24">
        <v>0</v>
      </c>
      <c r="G65" s="24">
        <v>2333.54</v>
      </c>
      <c r="H65" s="24">
        <v>0</v>
      </c>
      <c r="I65" s="24">
        <v>0</v>
      </c>
      <c r="J65" s="24">
        <v>0</v>
      </c>
      <c r="K65" s="24"/>
      <c r="L65" s="24"/>
      <c r="M65" s="24"/>
      <c r="N65" s="24">
        <v>0</v>
      </c>
      <c r="O65" s="24">
        <v>0</v>
      </c>
      <c r="P65" s="24">
        <v>0</v>
      </c>
      <c r="Q65" s="24"/>
    </row>
    <row r="66" spans="1:17" s="22" customFormat="1" ht="12" x14ac:dyDescent="0.2">
      <c r="A66" s="22" t="s">
        <v>163</v>
      </c>
      <c r="B66" s="24">
        <f>B63+B65</f>
        <v>-2050</v>
      </c>
      <c r="C66" s="24">
        <f t="shared" ref="C66:P66" si="23">C63+C65</f>
        <v>76.289999999999964</v>
      </c>
      <c r="D66" s="24">
        <f t="shared" si="23"/>
        <v>8500.7099999999991</v>
      </c>
      <c r="E66" s="24">
        <f t="shared" si="23"/>
        <v>-1386.88</v>
      </c>
      <c r="F66" s="24">
        <f t="shared" si="23"/>
        <v>-39820.980000000003</v>
      </c>
      <c r="G66" s="24">
        <f t="shared" si="23"/>
        <v>0</v>
      </c>
      <c r="H66" s="24">
        <f t="shared" si="23"/>
        <v>-3591.81</v>
      </c>
      <c r="I66" s="24">
        <f t="shared" si="23"/>
        <v>-1649.18</v>
      </c>
      <c r="J66" s="24">
        <f t="shared" si="23"/>
        <v>-45</v>
      </c>
      <c r="K66" s="24"/>
      <c r="L66" s="24"/>
      <c r="M66" s="24"/>
      <c r="N66" s="24">
        <f t="shared" si="23"/>
        <v>-2726.8300000000004</v>
      </c>
      <c r="O66" s="24">
        <f t="shared" si="23"/>
        <v>-3200</v>
      </c>
      <c r="P66" s="24">
        <f t="shared" si="23"/>
        <v>-1950</v>
      </c>
      <c r="Q66" s="24"/>
    </row>
    <row r="67" spans="1:17" s="22" customFormat="1" ht="12" x14ac:dyDescent="0.2">
      <c r="A67" s="22" t="s">
        <v>164</v>
      </c>
      <c r="B67" s="24">
        <f>B64+B66</f>
        <v>6296.85</v>
      </c>
      <c r="C67" s="24">
        <f t="shared" ref="C67:P67" si="24">C64+C66</f>
        <v>7674.46</v>
      </c>
      <c r="D67" s="24">
        <f t="shared" si="24"/>
        <v>8750.7099999999991</v>
      </c>
      <c r="E67" s="24">
        <f t="shared" si="24"/>
        <v>315.2199999999998</v>
      </c>
      <c r="F67" s="24">
        <f t="shared" si="24"/>
        <v>-16692.740000000002</v>
      </c>
      <c r="G67" s="24">
        <f t="shared" si="24"/>
        <v>10135.02</v>
      </c>
      <c r="H67" s="24">
        <f t="shared" si="24"/>
        <v>12973.49</v>
      </c>
      <c r="I67" s="24">
        <f t="shared" si="24"/>
        <v>2697.25</v>
      </c>
      <c r="J67" s="24">
        <f t="shared" si="24"/>
        <v>8931.41</v>
      </c>
      <c r="K67" s="24"/>
      <c r="L67" s="24"/>
      <c r="M67" s="24"/>
      <c r="N67" s="24">
        <f t="shared" si="24"/>
        <v>501.7199999999998</v>
      </c>
      <c r="O67" s="24">
        <f t="shared" si="24"/>
        <v>7145.2800000000007</v>
      </c>
      <c r="P67" s="24">
        <f t="shared" si="24"/>
        <v>4432.0600000000004</v>
      </c>
      <c r="Q67" s="24"/>
    </row>
    <row r="68" spans="1:17" x14ac:dyDescent="0.25">
      <c r="F68" s="14" t="s">
        <v>168</v>
      </c>
    </row>
  </sheetData>
  <mergeCells count="3">
    <mergeCell ref="A1:Q1"/>
    <mergeCell ref="A2:Q2"/>
    <mergeCell ref="A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Account Balances 8.31.25</vt:lpstr>
      <vt:lpstr>Statement of Activity FY</vt:lpstr>
      <vt:lpstr>Stmt of Activity - August</vt:lpstr>
      <vt:lpstr>Stmt of Activity by Sport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Marconi Avenue Chiro</cp:lastModifiedBy>
  <dcterms:created xsi:type="dcterms:W3CDTF">2022-03-24T08:55:57Z</dcterms:created>
  <dcterms:modified xsi:type="dcterms:W3CDTF">2025-09-09T22:26:16Z</dcterms:modified>
  <cp:category/>
</cp:coreProperties>
</file>