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RAAB\RAAB Pres\"/>
    </mc:Choice>
  </mc:AlternateContent>
  <xr:revisionPtr revIDLastSave="0" documentId="8_{74C454D6-E809-4801-B8AD-A37FD0B734B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nancial Position" sheetId="4" r:id="rId1"/>
    <sheet name="Statement of Activity FY" sheetId="1" r:id="rId2"/>
    <sheet name="Stmt of Activity - July" sheetId="2" r:id="rId3"/>
    <sheet name="Stmt of Activity by Spor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4" l="1"/>
  <c r="B64" i="4"/>
  <c r="B69" i="4" s="1"/>
  <c r="B70" i="4" s="1"/>
  <c r="B71" i="4" s="1"/>
  <c r="B31" i="4"/>
  <c r="B33" i="4" s="1"/>
  <c r="B16" i="4"/>
  <c r="B18" i="4" s="1"/>
  <c r="B21" i="4" s="1"/>
  <c r="B24" i="4" s="1"/>
  <c r="C58" i="3"/>
  <c r="D58" i="3"/>
  <c r="E58" i="3"/>
  <c r="F58" i="3"/>
  <c r="F59" i="3" s="1"/>
  <c r="G58" i="3"/>
  <c r="H58" i="3"/>
  <c r="I58" i="3"/>
  <c r="J58" i="3"/>
  <c r="N58" i="3"/>
  <c r="C59" i="3"/>
  <c r="D59" i="3"/>
  <c r="E59" i="3"/>
  <c r="G59" i="3"/>
  <c r="H59" i="3"/>
  <c r="I59" i="3"/>
  <c r="J59" i="3"/>
  <c r="N59" i="3"/>
  <c r="B59" i="3"/>
  <c r="B58" i="3"/>
  <c r="C54" i="3"/>
  <c r="B54" i="3"/>
  <c r="N53" i="3"/>
  <c r="N54" i="3" s="1"/>
  <c r="K53" i="3"/>
  <c r="K54" i="3" s="1"/>
  <c r="J53" i="3"/>
  <c r="J54" i="3" s="1"/>
  <c r="I53" i="3"/>
  <c r="I54" i="3" s="1"/>
  <c r="H53" i="3"/>
  <c r="H54" i="3" s="1"/>
  <c r="G53" i="3"/>
  <c r="G54" i="3" s="1"/>
  <c r="F53" i="3"/>
  <c r="F54" i="3" s="1"/>
  <c r="E53" i="3"/>
  <c r="E54" i="3" s="1"/>
  <c r="D53" i="3"/>
  <c r="D54" i="3" s="1"/>
  <c r="C53" i="3"/>
  <c r="B53" i="3"/>
  <c r="L52" i="3"/>
  <c r="L53" i="3" s="1"/>
  <c r="L54" i="3" s="1"/>
  <c r="N48" i="3"/>
  <c r="L48" i="3"/>
  <c r="K48" i="3"/>
  <c r="M48" i="3" s="1"/>
  <c r="J48" i="3"/>
  <c r="I48" i="3"/>
  <c r="G48" i="3"/>
  <c r="F48" i="3"/>
  <c r="E48" i="3"/>
  <c r="C48" i="3"/>
  <c r="B48" i="3"/>
  <c r="M47" i="3"/>
  <c r="O47" i="3" s="1"/>
  <c r="G47" i="3"/>
  <c r="M46" i="3"/>
  <c r="H46" i="3"/>
  <c r="H48" i="3" s="1"/>
  <c r="D46" i="3"/>
  <c r="D48" i="3" s="1"/>
  <c r="M44" i="3"/>
  <c r="F44" i="3"/>
  <c r="O44" i="3" s="1"/>
  <c r="N43" i="3"/>
  <c r="M43" i="3"/>
  <c r="D43" i="3"/>
  <c r="O43" i="3" s="1"/>
  <c r="M42" i="3"/>
  <c r="B42" i="3"/>
  <c r="O42" i="3" s="1"/>
  <c r="N41" i="3"/>
  <c r="L41" i="3"/>
  <c r="L45" i="3" s="1"/>
  <c r="K41" i="3"/>
  <c r="M41" i="3" s="1"/>
  <c r="J41" i="3"/>
  <c r="J45" i="3" s="1"/>
  <c r="I41" i="3"/>
  <c r="I45" i="3" s="1"/>
  <c r="H41" i="3"/>
  <c r="H45" i="3" s="1"/>
  <c r="G41" i="3"/>
  <c r="G45" i="3" s="1"/>
  <c r="F41" i="3"/>
  <c r="E41" i="3"/>
  <c r="E45" i="3" s="1"/>
  <c r="D41" i="3"/>
  <c r="D45" i="3" s="1"/>
  <c r="C41" i="3"/>
  <c r="C45" i="3" s="1"/>
  <c r="B41" i="3"/>
  <c r="M40" i="3"/>
  <c r="D40" i="3"/>
  <c r="M39" i="3"/>
  <c r="O39" i="3" s="1"/>
  <c r="M38" i="3"/>
  <c r="F38" i="3"/>
  <c r="O38" i="3" s="1"/>
  <c r="M37" i="3"/>
  <c r="O37" i="3" s="1"/>
  <c r="N36" i="3"/>
  <c r="K36" i="3"/>
  <c r="J36" i="3"/>
  <c r="I36" i="3"/>
  <c r="H36" i="3"/>
  <c r="G36" i="3"/>
  <c r="F36" i="3"/>
  <c r="E36" i="3"/>
  <c r="D36" i="3"/>
  <c r="C36" i="3"/>
  <c r="B36" i="3"/>
  <c r="M35" i="3"/>
  <c r="O35" i="3" s="1"/>
  <c r="L35" i="3"/>
  <c r="L34" i="3"/>
  <c r="M34" i="3" s="1"/>
  <c r="O34" i="3" s="1"/>
  <c r="M33" i="3"/>
  <c r="O33" i="3" s="1"/>
  <c r="N32" i="3"/>
  <c r="K32" i="3"/>
  <c r="J32" i="3"/>
  <c r="I32" i="3"/>
  <c r="H32" i="3"/>
  <c r="G32" i="3"/>
  <c r="F32" i="3"/>
  <c r="E32" i="3"/>
  <c r="D32" i="3"/>
  <c r="C32" i="3"/>
  <c r="B32" i="3"/>
  <c r="M31" i="3"/>
  <c r="O31" i="3" s="1"/>
  <c r="L31" i="3"/>
  <c r="L30" i="3"/>
  <c r="M30" i="3" s="1"/>
  <c r="O30" i="3" s="1"/>
  <c r="N25" i="3"/>
  <c r="N26" i="3" s="1"/>
  <c r="N27" i="3" s="1"/>
  <c r="N28" i="3" s="1"/>
  <c r="L25" i="3"/>
  <c r="L26" i="3" s="1"/>
  <c r="K25" i="3"/>
  <c r="M25" i="3" s="1"/>
  <c r="J25" i="3"/>
  <c r="H25" i="3"/>
  <c r="G25" i="3"/>
  <c r="F25" i="3"/>
  <c r="E25" i="3"/>
  <c r="D25" i="3"/>
  <c r="C25" i="3"/>
  <c r="B25" i="3"/>
  <c r="M24" i="3"/>
  <c r="I24" i="3"/>
  <c r="O24" i="3" s="1"/>
  <c r="M23" i="3"/>
  <c r="O23" i="3" s="1"/>
  <c r="N22" i="3"/>
  <c r="L22" i="3"/>
  <c r="K22" i="3"/>
  <c r="J22" i="3"/>
  <c r="I22" i="3"/>
  <c r="H22" i="3"/>
  <c r="F22" i="3"/>
  <c r="E22" i="3"/>
  <c r="D22" i="3"/>
  <c r="C22" i="3"/>
  <c r="B22" i="3"/>
  <c r="M21" i="3"/>
  <c r="G21" i="3"/>
  <c r="G22" i="3" s="1"/>
  <c r="M20" i="3"/>
  <c r="O20" i="3" s="1"/>
  <c r="N19" i="3"/>
  <c r="M19" i="3"/>
  <c r="C19" i="3"/>
  <c r="O19" i="3" s="1"/>
  <c r="N18" i="3"/>
  <c r="L18" i="3"/>
  <c r="K18" i="3"/>
  <c r="J18" i="3"/>
  <c r="I18" i="3"/>
  <c r="H18" i="3"/>
  <c r="H26" i="3" s="1"/>
  <c r="F18" i="3"/>
  <c r="F26" i="3" s="1"/>
  <c r="E18" i="3"/>
  <c r="D18" i="3"/>
  <c r="C18" i="3"/>
  <c r="B18" i="3"/>
  <c r="M17" i="3"/>
  <c r="G17" i="3"/>
  <c r="G18" i="3" s="1"/>
  <c r="M16" i="3"/>
  <c r="O16" i="3" s="1"/>
  <c r="M15" i="3"/>
  <c r="J15" i="3"/>
  <c r="J26" i="3" s="1"/>
  <c r="J27" i="3" s="1"/>
  <c r="J28" i="3" s="1"/>
  <c r="B15" i="3"/>
  <c r="O15" i="3" s="1"/>
  <c r="O14" i="3"/>
  <c r="M14" i="3"/>
  <c r="D14" i="3"/>
  <c r="M13" i="3"/>
  <c r="E13" i="3"/>
  <c r="B13" i="3"/>
  <c r="O13" i="3" s="1"/>
  <c r="M12" i="3"/>
  <c r="O12" i="3" s="1"/>
  <c r="N11" i="3"/>
  <c r="K11" i="3"/>
  <c r="J11" i="3"/>
  <c r="I11" i="3"/>
  <c r="H11" i="3"/>
  <c r="H27" i="3" s="1"/>
  <c r="H28" i="3" s="1"/>
  <c r="G11" i="3"/>
  <c r="F11" i="3"/>
  <c r="E11" i="3"/>
  <c r="D11" i="3"/>
  <c r="C11" i="3"/>
  <c r="B11" i="3"/>
  <c r="M10" i="3"/>
  <c r="O10" i="3" s="1"/>
  <c r="L10" i="3"/>
  <c r="L9" i="3"/>
  <c r="M9" i="3" s="1"/>
  <c r="O9" i="3" s="1"/>
  <c r="L8" i="3"/>
  <c r="L11" i="3" s="1"/>
  <c r="M7" i="3"/>
  <c r="O7" i="3" s="1"/>
  <c r="B57" i="2"/>
  <c r="B55" i="2"/>
  <c r="B50" i="2"/>
  <c r="B43" i="2"/>
  <c r="B47" i="2" s="1"/>
  <c r="B38" i="2"/>
  <c r="B34" i="2"/>
  <c r="B51" i="2" s="1"/>
  <c r="B25" i="2"/>
  <c r="B26" i="2" s="1"/>
  <c r="B28" i="2" s="1"/>
  <c r="B30" i="2" s="1"/>
  <c r="B52" i="2" s="1"/>
  <c r="B58" i="2" s="1"/>
  <c r="B22" i="2"/>
  <c r="B18" i="2"/>
  <c r="B12" i="2"/>
  <c r="B69" i="1"/>
  <c r="B71" i="1" s="1"/>
  <c r="B63" i="1"/>
  <c r="B60" i="1"/>
  <c r="B58" i="1"/>
  <c r="B52" i="1"/>
  <c r="B46" i="1"/>
  <c r="B42" i="1"/>
  <c r="B64" i="1" s="1"/>
  <c r="B33" i="1"/>
  <c r="B30" i="1"/>
  <c r="B27" i="1"/>
  <c r="B24" i="1"/>
  <c r="B20" i="1"/>
  <c r="B34" i="1" s="1"/>
  <c r="B14" i="1"/>
  <c r="B72" i="4" l="1"/>
  <c r="O40" i="3"/>
  <c r="K26" i="3"/>
  <c r="K27" i="3" s="1"/>
  <c r="C26" i="3"/>
  <c r="C27" i="3" s="1"/>
  <c r="C28" i="3" s="1"/>
  <c r="C50" i="3" s="1"/>
  <c r="C55" i="3" s="1"/>
  <c r="L32" i="3"/>
  <c r="L49" i="3" s="1"/>
  <c r="N45" i="3"/>
  <c r="M54" i="3"/>
  <c r="D26" i="3"/>
  <c r="C49" i="3"/>
  <c r="E26" i="3"/>
  <c r="D27" i="3"/>
  <c r="D28" i="3" s="1"/>
  <c r="M22" i="3"/>
  <c r="O22" i="3" s="1"/>
  <c r="L36" i="3"/>
  <c r="M36" i="3" s="1"/>
  <c r="O36" i="3" s="1"/>
  <c r="E49" i="3"/>
  <c r="O48" i="3"/>
  <c r="E27" i="3"/>
  <c r="E28" i="3" s="1"/>
  <c r="E50" i="3" s="1"/>
  <c r="E55" i="3" s="1"/>
  <c r="F27" i="3"/>
  <c r="F28" i="3" s="1"/>
  <c r="G49" i="3"/>
  <c r="F50" i="3"/>
  <c r="F55" i="3" s="1"/>
  <c r="H49" i="3"/>
  <c r="H50" i="3" s="1"/>
  <c r="H55" i="3" s="1"/>
  <c r="N50" i="3"/>
  <c r="N55" i="3" s="1"/>
  <c r="I49" i="3"/>
  <c r="M11" i="3"/>
  <c r="O11" i="3" s="1"/>
  <c r="L27" i="3"/>
  <c r="L28" i="3" s="1"/>
  <c r="J49" i="3"/>
  <c r="J50" i="3" s="1"/>
  <c r="J55" i="3" s="1"/>
  <c r="G26" i="3"/>
  <c r="G27" i="3" s="1"/>
  <c r="G28" i="3" s="1"/>
  <c r="G50" i="3" s="1"/>
  <c r="G55" i="3" s="1"/>
  <c r="N49" i="3"/>
  <c r="O41" i="3"/>
  <c r="O54" i="3"/>
  <c r="O18" i="3"/>
  <c r="D49" i="3"/>
  <c r="D50" i="3" s="1"/>
  <c r="D55" i="3" s="1"/>
  <c r="B45" i="3"/>
  <c r="B49" i="3" s="1"/>
  <c r="M32" i="3"/>
  <c r="O32" i="3" s="1"/>
  <c r="B26" i="3"/>
  <c r="O21" i="3"/>
  <c r="F45" i="3"/>
  <c r="F49" i="3" s="1"/>
  <c r="M52" i="3"/>
  <c r="O52" i="3" s="1"/>
  <c r="O17" i="3"/>
  <c r="M18" i="3"/>
  <c r="O46" i="3"/>
  <c r="M53" i="3"/>
  <c r="O53" i="3" s="1"/>
  <c r="I25" i="3"/>
  <c r="O25" i="3" s="1"/>
  <c r="K45" i="3"/>
  <c r="M8" i="3"/>
  <c r="O8" i="3" s="1"/>
  <c r="B36" i="1"/>
  <c r="B38" i="1" s="1"/>
  <c r="B65" i="1" s="1"/>
  <c r="B72" i="1" s="1"/>
  <c r="L50" i="3" l="1"/>
  <c r="L55" i="3" s="1"/>
  <c r="M26" i="3"/>
  <c r="O49" i="3"/>
  <c r="I26" i="3"/>
  <c r="I27" i="3" s="1"/>
  <c r="I28" i="3" s="1"/>
  <c r="I50" i="3" s="1"/>
  <c r="I55" i="3" s="1"/>
  <c r="O26" i="3"/>
  <c r="B27" i="3"/>
  <c r="M45" i="3"/>
  <c r="K49" i="3"/>
  <c r="M49" i="3" s="1"/>
  <c r="O45" i="3"/>
  <c r="K28" i="3"/>
  <c r="M27" i="3"/>
  <c r="K50" i="3" l="1"/>
  <c r="M28" i="3"/>
  <c r="B28" i="3"/>
  <c r="O27" i="3"/>
  <c r="B50" i="3" l="1"/>
  <c r="O28" i="3"/>
  <c r="M50" i="3"/>
  <c r="K55" i="3"/>
  <c r="M55" i="3" s="1"/>
  <c r="B55" i="3" l="1"/>
  <c r="O55" i="3" s="1"/>
  <c r="O50" i="3"/>
</calcChain>
</file>

<file path=xl/sharedStrings.xml><?xml version="1.0" encoding="utf-8"?>
<sst xmlns="http://schemas.openxmlformats.org/spreadsheetml/2006/main" count="276" uniqueCount="201">
  <si>
    <t>Statement of Activity</t>
  </si>
  <si>
    <t>Rio Americano Athletic Boosters, Inc.</t>
  </si>
  <si>
    <t>June 1-July 31, 2025</t>
  </si>
  <si>
    <t>Income</t>
  </si>
  <si>
    <t>General Fundraising Income</t>
  </si>
  <si>
    <t>Accrued Investment Income</t>
  </si>
  <si>
    <t>Banner Advertising - RAAB General Fund</t>
  </si>
  <si>
    <t>Firework Booth</t>
  </si>
  <si>
    <t>General Fund Donations</t>
  </si>
  <si>
    <t>Legacy brick sales</t>
  </si>
  <si>
    <t>Membership</t>
  </si>
  <si>
    <t>Total for General Fundraising Income</t>
  </si>
  <si>
    <t>Team Fundraising Income</t>
  </si>
  <si>
    <t>Cookie Dough Sales</t>
  </si>
  <si>
    <t>Designated Sport Donation</t>
  </si>
  <si>
    <t>Fundraising Program</t>
  </si>
  <si>
    <t>Vertical Raise Trust</t>
  </si>
  <si>
    <t>Total for Fundraising Program</t>
  </si>
  <si>
    <t>Snack Bar Income</t>
  </si>
  <si>
    <t>B. Basketball Snack Bar Income</t>
  </si>
  <si>
    <t>Boys Volleyball Snack Bar Income</t>
  </si>
  <si>
    <t>Total for Snack Bar Income</t>
  </si>
  <si>
    <t>Summer Program Income</t>
  </si>
  <si>
    <t>Cheer Summer Program</t>
  </si>
  <si>
    <t>Total for Summer Program Income</t>
  </si>
  <si>
    <t>Team Event Income</t>
  </si>
  <si>
    <t>Football Golf Tournament</t>
  </si>
  <si>
    <t>Total for Team Event Income</t>
  </si>
  <si>
    <t>Tournament Income</t>
  </si>
  <si>
    <t>Swim Invitational Income</t>
  </si>
  <si>
    <t>Total for Tournament Income</t>
  </si>
  <si>
    <t>Total for Team Fundraising Income</t>
  </si>
  <si>
    <t>Unapplied Cash Payment Revenue</t>
  </si>
  <si>
    <t>Total for Income</t>
  </si>
  <si>
    <t>Cost of Goods Sold</t>
  </si>
  <si>
    <t>Gross Profit</t>
  </si>
  <si>
    <t>Expenses</t>
  </si>
  <si>
    <t>Administrative Expenses</t>
  </si>
  <si>
    <t>Technology</t>
  </si>
  <si>
    <t>Total for Administrative Expenses</t>
  </si>
  <si>
    <t>General Fundraising Expenses</t>
  </si>
  <si>
    <t>Banner Expense - General</t>
  </si>
  <si>
    <t>Fireworks Booth</t>
  </si>
  <si>
    <t>Total for General Fundraising Expenses</t>
  </si>
  <si>
    <t>Sports Team Expenses</t>
  </si>
  <si>
    <t>Athletic Equipment</t>
  </si>
  <si>
    <t>General Programs Expense</t>
  </si>
  <si>
    <t>Stipends</t>
  </si>
  <si>
    <t>Direct Pay (1099)</t>
  </si>
  <si>
    <t>Total for Stipends</t>
  </si>
  <si>
    <t>Team Awards/Celebration</t>
  </si>
  <si>
    <t>Team Camps</t>
  </si>
  <si>
    <t>Team Travel</t>
  </si>
  <si>
    <t>Team Uniforms</t>
  </si>
  <si>
    <t>Player Packs</t>
  </si>
  <si>
    <t>Total for Team Uniforms</t>
  </si>
  <si>
    <t>Tournament Fees</t>
  </si>
  <si>
    <t>Total for Sports Team Expenses</t>
  </si>
  <si>
    <t>Team Fundraising Expenses</t>
  </si>
  <si>
    <t>Total for Team Fundraising Expenses</t>
  </si>
  <si>
    <t>Total for Expenses</t>
  </si>
  <si>
    <t>Net Operating Income</t>
  </si>
  <si>
    <t>Other Income</t>
  </si>
  <si>
    <t>Interest Income</t>
  </si>
  <si>
    <t>Pass-Through Income</t>
  </si>
  <si>
    <t>Total for Other Income</t>
  </si>
  <si>
    <t>Other Expenses</t>
  </si>
  <si>
    <t>Net Other Income</t>
  </si>
  <si>
    <t>Net Income</t>
  </si>
  <si>
    <t>Distribution account</t>
  </si>
  <si>
    <t>Total</t>
  </si>
  <si>
    <t>Cash Basis Thursday, August 14, 2025 01:48 AM GMTZ</t>
  </si>
  <si>
    <t>July 1-31, 2025</t>
  </si>
  <si>
    <t>Cash Basis Thursday, August 14, 2025 01:49 AM GMTZ</t>
  </si>
  <si>
    <t>July 2025</t>
  </si>
  <si>
    <t>Baseball</t>
  </si>
  <si>
    <t>Basketball - Girls</t>
  </si>
  <si>
    <t>Cheer</t>
  </si>
  <si>
    <t>Cross Country</t>
  </si>
  <si>
    <t>Flag Football</t>
  </si>
  <si>
    <t>Football</t>
  </si>
  <si>
    <t>Soccer - Girls</t>
  </si>
  <si>
    <t>Swim &amp; Dive</t>
  </si>
  <si>
    <t>Tennis - Boys</t>
  </si>
  <si>
    <t>Unrestricted - General Fund</t>
  </si>
  <si>
    <t>Administration</t>
  </si>
  <si>
    <t>Total Unrestricted - General Fund</t>
  </si>
  <si>
    <t>Volleyball - Boys</t>
  </si>
  <si>
    <t>TOTAL</t>
  </si>
  <si>
    <t>Revenue</t>
  </si>
  <si>
    <t xml:space="preserve">   General Fundraising Income</t>
  </si>
  <si>
    <t xml:space="preserve">      Accrued Investment Income</t>
  </si>
  <si>
    <t xml:space="preserve">      Firework Booth</t>
  </si>
  <si>
    <t xml:space="preserve">      Membership</t>
  </si>
  <si>
    <t xml:space="preserve">   Total General Fundraising Income</t>
  </si>
  <si>
    <t xml:space="preserve">   Team Fundraising Income</t>
  </si>
  <si>
    <t xml:space="preserve">      Banner Advertising - Team Designated</t>
  </si>
  <si>
    <t xml:space="preserve">      Cookie Dough Sales</t>
  </si>
  <si>
    <t xml:space="preserve">      Designated Sport Donation</t>
  </si>
  <si>
    <t xml:space="preserve">      Fundraising Program</t>
  </si>
  <si>
    <t xml:space="preserve">         Vertical Raise Trust</t>
  </si>
  <si>
    <t xml:space="preserve">      Total Fundraising Program</t>
  </si>
  <si>
    <t xml:space="preserve">      Summer Program Income</t>
  </si>
  <si>
    <t xml:space="preserve">      Team Event Income</t>
  </si>
  <si>
    <t xml:space="preserve">         Football Golf Tournament</t>
  </si>
  <si>
    <t xml:space="preserve">      Total Team Event Income</t>
  </si>
  <si>
    <t xml:space="preserve">      Tournament Income</t>
  </si>
  <si>
    <t xml:space="preserve">         Swim Invitational Income</t>
  </si>
  <si>
    <t xml:space="preserve">      Total Tournament Income</t>
  </si>
  <si>
    <t xml:space="preserve">   Total Team Fundraising Income</t>
  </si>
  <si>
    <t>Total Revenue</t>
  </si>
  <si>
    <t>Expenditures</t>
  </si>
  <si>
    <t xml:space="preserve">   Administrative Expenses</t>
  </si>
  <si>
    <t xml:space="preserve">      Technology</t>
  </si>
  <si>
    <t xml:space="preserve">   Total Administrative Expenses</t>
  </si>
  <si>
    <t xml:space="preserve">   General Fundraising Expenses</t>
  </si>
  <si>
    <t xml:space="preserve">      Banner Expense - General</t>
  </si>
  <si>
    <t xml:space="preserve">      Fireworks Booth</t>
  </si>
  <si>
    <t xml:space="preserve">   Total General Fundraising Expenses</t>
  </si>
  <si>
    <t xml:space="preserve">   Sports Team Expenses</t>
  </si>
  <si>
    <t xml:space="preserve">      Athletic Equipment</t>
  </si>
  <si>
    <t xml:space="preserve">      Stipends</t>
  </si>
  <si>
    <t xml:space="preserve">         Direct Pay (1099)</t>
  </si>
  <si>
    <t xml:space="preserve">      Total Stipends</t>
  </si>
  <si>
    <t xml:space="preserve">      Team Awards/Celebration</t>
  </si>
  <si>
    <t xml:space="preserve">      Team Camps</t>
  </si>
  <si>
    <t xml:space="preserve">      Tournament Fees</t>
  </si>
  <si>
    <t xml:space="preserve">   Total Sports Team Expenses</t>
  </si>
  <si>
    <t xml:space="preserve">   Team Fundraising Expenses</t>
  </si>
  <si>
    <t xml:space="preserve">      Football Golf Tournament</t>
  </si>
  <si>
    <t xml:space="preserve">   Total Team Fundraising Expenses</t>
  </si>
  <si>
    <t>Total Expenditures</t>
  </si>
  <si>
    <t>Net Operating Revenue</t>
  </si>
  <si>
    <t>Other Revenue</t>
  </si>
  <si>
    <t xml:space="preserve">   Interest Income</t>
  </si>
  <si>
    <t>Total Other Revenue</t>
  </si>
  <si>
    <t>Net Other Revenue</t>
  </si>
  <si>
    <t>Net Revenue</t>
  </si>
  <si>
    <t>Beginning Balance</t>
  </si>
  <si>
    <t>Covered by RAAB General</t>
  </si>
  <si>
    <t>Adjustment to last month's balance</t>
  </si>
  <si>
    <t>New Ending Balance</t>
  </si>
  <si>
    <t>Statement of Financial Position</t>
  </si>
  <si>
    <t>As of July 31, 2025</t>
  </si>
  <si>
    <t>Assets</t>
  </si>
  <si>
    <t>Current Assets</t>
  </si>
  <si>
    <t>Bank Accounts</t>
  </si>
  <si>
    <t>Bank of America Checking 2</t>
  </si>
  <si>
    <t>BofA Savings 2</t>
  </si>
  <si>
    <t>CD Investments</t>
  </si>
  <si>
    <t>CD Investment - Maturity 2.17.26</t>
  </si>
  <si>
    <t>CD Investment - Maturity 7.16.25</t>
  </si>
  <si>
    <t>CD Investment - Maturity 8.16.25</t>
  </si>
  <si>
    <t>CD Investment - Maturity 9.25.25</t>
  </si>
  <si>
    <t>Total for CD Investments</t>
  </si>
  <si>
    <t>PayPal - RAAB</t>
  </si>
  <si>
    <t>Total for Bank Accounts</t>
  </si>
  <si>
    <t>Accounts Receivable</t>
  </si>
  <si>
    <t>Other Current Assets</t>
  </si>
  <si>
    <t>Total for Current Assets</t>
  </si>
  <si>
    <t>Fixed Assets</t>
  </si>
  <si>
    <t>Other Assets</t>
  </si>
  <si>
    <t>Total for Assets</t>
  </si>
  <si>
    <t>Liabilities and Equity</t>
  </si>
  <si>
    <t>Liabilities</t>
  </si>
  <si>
    <t>Current Liabilities</t>
  </si>
  <si>
    <t>Accounts Payable</t>
  </si>
  <si>
    <t>Credit Cards</t>
  </si>
  <si>
    <t>Other Current Liabilities</t>
  </si>
  <si>
    <t>Total for Current Liabilities</t>
  </si>
  <si>
    <t>Long-term Liabilities</t>
  </si>
  <si>
    <t>Total for Liabilities</t>
  </si>
  <si>
    <t>Equity</t>
  </si>
  <si>
    <t>Unrestricted Net Assets</t>
  </si>
  <si>
    <t>Restricted Net Assets</t>
  </si>
  <si>
    <t>Field of Dreams</t>
  </si>
  <si>
    <t>Jack Scott Tournament</t>
  </si>
  <si>
    <t>Team Funds</t>
  </si>
  <si>
    <t>Athletic Director</t>
  </si>
  <si>
    <t>Basketball - Boys</t>
  </si>
  <si>
    <t>Golf - Boys</t>
  </si>
  <si>
    <t>Golf - Girls</t>
  </si>
  <si>
    <t>Lacrosse - Boys</t>
  </si>
  <si>
    <t>Lacrosse - Girls</t>
  </si>
  <si>
    <t>Soccer - Boys</t>
  </si>
  <si>
    <t>Softball</t>
  </si>
  <si>
    <t>Tennis - Girls</t>
  </si>
  <si>
    <t>Track &amp; Field</t>
  </si>
  <si>
    <t>Volleyball - Girls</t>
  </si>
  <si>
    <t>Water Polo - Boys</t>
  </si>
  <si>
    <t>Water Polo - Boys - Scoreboard</t>
  </si>
  <si>
    <t>Total for Water Polo - Boys</t>
  </si>
  <si>
    <t>Water Polo - Girls</t>
  </si>
  <si>
    <t>Water Polo - Girls - Scoreboard</t>
  </si>
  <si>
    <t>Total for Water Polo - Girls</t>
  </si>
  <si>
    <t>Wrestling</t>
  </si>
  <si>
    <t>Total for Team Funds</t>
  </si>
  <si>
    <t>Total for Restricted Net Assets</t>
  </si>
  <si>
    <t>Total for Equity</t>
  </si>
  <si>
    <t>Total for Liabilities and Equity</t>
  </si>
  <si>
    <t>Cash Basis Thursday, August 14, 2025 02:55 AM GMTZ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</si>
</sst>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.00"/>
    <numFmt numFmtId="165" formatCode="#,##0.00\ _€"/>
    <numFmt numFmtId="166" formatCode="&quot;$&quot;* #,##0.00\ _€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2" fillId="0" borderId="0"/>
    <xf numFmtId="0" fontId="2" fillId="0" borderId="2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3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/>
    </xf>
    <xf numFmtId="0" fontId="5" fillId="0" borderId="1" xfId="2" applyFont="1" applyAlignment="1">
      <alignment horizontal="center" wrapText="1"/>
    </xf>
    <xf numFmtId="4" fontId="3" fillId="0" borderId="0" xfId="0" applyNumberFormat="1" applyFont="1" applyAlignment="1">
      <alignment wrapText="1"/>
    </xf>
    <xf numFmtId="164" fontId="4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165" fontId="13" fillId="0" borderId="0" xfId="0" applyNumberFormat="1" applyFont="1" applyAlignment="1">
      <alignment wrapText="1"/>
    </xf>
    <xf numFmtId="165" fontId="13" fillId="0" borderId="0" xfId="0" applyNumberFormat="1" applyFont="1" applyAlignment="1">
      <alignment horizontal="right" wrapText="1"/>
    </xf>
    <xf numFmtId="166" fontId="12" fillId="0" borderId="2" xfId="0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43" fontId="14" fillId="0" borderId="0" xfId="1" applyFont="1" applyAlignment="1">
      <alignment wrapText="1"/>
    </xf>
    <xf numFmtId="0" fontId="14" fillId="0" borderId="0" xfId="0" applyFont="1"/>
    <xf numFmtId="43" fontId="14" fillId="0" borderId="0" xfId="1" applyFont="1"/>
    <xf numFmtId="0" fontId="3" fillId="0" borderId="0" xfId="0" applyFont="1" applyAlignment="1">
      <alignment horizontal="left" wrapText="1" indent="4"/>
    </xf>
    <xf numFmtId="0" fontId="4" fillId="0" borderId="0" xfId="0" applyFont="1" applyAlignment="1">
      <alignment horizontal="left" wrapText="1" indent="3"/>
    </xf>
    <xf numFmtId="4" fontId="4" fillId="0" borderId="2" xfId="0" applyNumberFormat="1" applyFont="1" applyBorder="1" applyAlignment="1">
      <alignment wrapText="1"/>
    </xf>
    <xf numFmtId="0" fontId="3" fillId="0" borderId="0" xfId="0" applyFont="1" applyAlignment="1">
      <alignment horizontal="left" wrapText="1" indent="5"/>
    </xf>
    <xf numFmtId="0" fontId="4" fillId="0" borderId="0" xfId="0" applyFont="1" applyAlignment="1">
      <alignment horizontal="left" wrapText="1" indent="4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</cellXfs>
  <cellStyles count="5">
    <cellStyle name="Comma" xfId="1" builtinId="3"/>
    <cellStyle name="GroupedCellStyle" xfId="3" xr:uid="{00000000-0005-0000-0000-000007000000}"/>
    <cellStyle name="HeaderCellStyle" xfId="2" xr:uid="{00000000-0005-0000-0000-000006000000}"/>
    <cellStyle name="Normal" xfId="0" builtinId="0"/>
    <cellStyle name="TotalCellStyl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0CC3-9DCE-4A49-BCBA-0BEE4E015B41}">
  <dimension ref="A1:B76"/>
  <sheetViews>
    <sheetView tabSelected="1" topLeftCell="A58" workbookViewId="0">
      <selection activeCell="D64" sqref="D64"/>
    </sheetView>
  </sheetViews>
  <sheetFormatPr defaultColWidth="11.25" defaultRowHeight="15.75" outlineLevelRow="5" x14ac:dyDescent="0.25"/>
  <cols>
    <col min="1" max="1" width="28.125" style="1" customWidth="1"/>
    <col min="2" max="2" width="16.125" style="1" customWidth="1"/>
  </cols>
  <sheetData>
    <row r="1" spans="1:2" x14ac:dyDescent="0.25">
      <c r="A1" s="28" t="s">
        <v>142</v>
      </c>
      <c r="B1" s="29"/>
    </row>
    <row r="2" spans="1:2" x14ac:dyDescent="0.25">
      <c r="A2" s="30" t="s">
        <v>1</v>
      </c>
      <c r="B2" s="29"/>
    </row>
    <row r="3" spans="1:2" x14ac:dyDescent="0.25">
      <c r="A3" s="31" t="s">
        <v>143</v>
      </c>
      <c r="B3" s="29"/>
    </row>
    <row r="5" spans="1:2" x14ac:dyDescent="0.25">
      <c r="A5" s="9" t="s">
        <v>69</v>
      </c>
      <c r="B5" s="9" t="s">
        <v>70</v>
      </c>
    </row>
    <row r="6" spans="1:2" x14ac:dyDescent="0.25">
      <c r="A6" s="2" t="s">
        <v>144</v>
      </c>
    </row>
    <row r="7" spans="1:2" outlineLevel="1" x14ac:dyDescent="0.25">
      <c r="A7" s="3" t="s">
        <v>145</v>
      </c>
    </row>
    <row r="8" spans="1:2" outlineLevel="2" x14ac:dyDescent="0.25">
      <c r="A8" s="4" t="s">
        <v>146</v>
      </c>
    </row>
    <row r="9" spans="1:2" outlineLevel="3" x14ac:dyDescent="0.25">
      <c r="A9" s="6" t="s">
        <v>147</v>
      </c>
      <c r="B9" s="10">
        <v>280720.18</v>
      </c>
    </row>
    <row r="10" spans="1:2" outlineLevel="3" x14ac:dyDescent="0.25">
      <c r="A10" s="6" t="s">
        <v>148</v>
      </c>
      <c r="B10" s="10">
        <v>34744.239999999998</v>
      </c>
    </row>
    <row r="11" spans="1:2" outlineLevel="3" x14ac:dyDescent="0.25">
      <c r="A11" s="6" t="s">
        <v>149</v>
      </c>
      <c r="B11" s="10">
        <v>0</v>
      </c>
    </row>
    <row r="12" spans="1:2" outlineLevel="4" x14ac:dyDescent="0.25">
      <c r="A12" s="23" t="s">
        <v>150</v>
      </c>
      <c r="B12" s="10">
        <v>67762.899999999994</v>
      </c>
    </row>
    <row r="13" spans="1:2" outlineLevel="4" x14ac:dyDescent="0.25">
      <c r="A13" s="23" t="s">
        <v>151</v>
      </c>
      <c r="B13" s="12"/>
    </row>
    <row r="14" spans="1:2" outlineLevel="4" x14ac:dyDescent="0.25">
      <c r="A14" s="23" t="s">
        <v>152</v>
      </c>
      <c r="B14" s="10">
        <v>68182.759999999995</v>
      </c>
    </row>
    <row r="15" spans="1:2" outlineLevel="4" x14ac:dyDescent="0.25">
      <c r="A15" s="23" t="s">
        <v>153</v>
      </c>
      <c r="B15" s="10">
        <v>67931.53</v>
      </c>
    </row>
    <row r="16" spans="1:2" outlineLevel="3" x14ac:dyDescent="0.25">
      <c r="A16" s="24" t="s">
        <v>154</v>
      </c>
      <c r="B16" s="11">
        <f>B11+B12+B13+B14+B15</f>
        <v>203877.18999999997</v>
      </c>
    </row>
    <row r="17" spans="1:2" outlineLevel="3" x14ac:dyDescent="0.25">
      <c r="A17" s="6" t="s">
        <v>155</v>
      </c>
      <c r="B17" s="10">
        <v>10</v>
      </c>
    </row>
    <row r="18" spans="1:2" outlineLevel="2" x14ac:dyDescent="0.25">
      <c r="A18" s="7" t="s">
        <v>156</v>
      </c>
      <c r="B18" s="11">
        <f>B8+B9+B10+B16+B17</f>
        <v>519351.61</v>
      </c>
    </row>
    <row r="19" spans="1:2" outlineLevel="2" x14ac:dyDescent="0.25">
      <c r="A19" s="4" t="s">
        <v>157</v>
      </c>
      <c r="B19" s="12"/>
    </row>
    <row r="20" spans="1:2" outlineLevel="2" x14ac:dyDescent="0.25">
      <c r="A20" s="4" t="s">
        <v>158</v>
      </c>
      <c r="B20" s="12"/>
    </row>
    <row r="21" spans="1:2" outlineLevel="1" x14ac:dyDescent="0.25">
      <c r="A21" s="5" t="s">
        <v>159</v>
      </c>
      <c r="B21" s="11">
        <f>B7+B18+B19+B20</f>
        <v>519351.61</v>
      </c>
    </row>
    <row r="22" spans="1:2" outlineLevel="1" x14ac:dyDescent="0.25">
      <c r="A22" s="3" t="s">
        <v>160</v>
      </c>
      <c r="B22" s="12"/>
    </row>
    <row r="23" spans="1:2" outlineLevel="1" x14ac:dyDescent="0.25">
      <c r="A23" s="3" t="s">
        <v>161</v>
      </c>
      <c r="B23" s="12"/>
    </row>
    <row r="24" spans="1:2" x14ac:dyDescent="0.25">
      <c r="A24" s="8" t="s">
        <v>162</v>
      </c>
      <c r="B24" s="11">
        <f>B21+B22+B23</f>
        <v>519351.61</v>
      </c>
    </row>
    <row r="25" spans="1:2" x14ac:dyDescent="0.25">
      <c r="A25" s="2" t="s">
        <v>163</v>
      </c>
    </row>
    <row r="26" spans="1:2" outlineLevel="1" x14ac:dyDescent="0.25">
      <c r="A26" s="3" t="s">
        <v>164</v>
      </c>
    </row>
    <row r="27" spans="1:2" outlineLevel="2" x14ac:dyDescent="0.25">
      <c r="A27" s="4" t="s">
        <v>165</v>
      </c>
    </row>
    <row r="28" spans="1:2" outlineLevel="3" x14ac:dyDescent="0.25">
      <c r="A28" s="6" t="s">
        <v>166</v>
      </c>
      <c r="B28" s="12"/>
    </row>
    <row r="29" spans="1:2" outlineLevel="3" x14ac:dyDescent="0.25">
      <c r="A29" s="6" t="s">
        <v>167</v>
      </c>
      <c r="B29" s="12"/>
    </row>
    <row r="30" spans="1:2" outlineLevel="3" x14ac:dyDescent="0.25">
      <c r="A30" s="6" t="s">
        <v>168</v>
      </c>
      <c r="B30" s="12"/>
    </row>
    <row r="31" spans="1:2" outlineLevel="2" x14ac:dyDescent="0.25">
      <c r="A31" s="7" t="s">
        <v>169</v>
      </c>
      <c r="B31" s="25">
        <f>B27+B28+B29+B30</f>
        <v>0</v>
      </c>
    </row>
    <row r="32" spans="1:2" outlineLevel="2" x14ac:dyDescent="0.25">
      <c r="A32" s="4" t="s">
        <v>170</v>
      </c>
      <c r="B32" s="12"/>
    </row>
    <row r="33" spans="1:2" outlineLevel="1" x14ac:dyDescent="0.25">
      <c r="A33" s="5" t="s">
        <v>171</v>
      </c>
      <c r="B33" s="25">
        <f>B26+B31+B32</f>
        <v>0</v>
      </c>
    </row>
    <row r="34" spans="1:2" outlineLevel="1" x14ac:dyDescent="0.25">
      <c r="A34" s="3" t="s">
        <v>172</v>
      </c>
    </row>
    <row r="35" spans="1:2" outlineLevel="2" x14ac:dyDescent="0.25">
      <c r="A35" s="4" t="s">
        <v>173</v>
      </c>
      <c r="B35" s="10">
        <v>284709.53000000096</v>
      </c>
    </row>
    <row r="36" spans="1:2" outlineLevel="2" x14ac:dyDescent="0.25">
      <c r="A36" s="4" t="s">
        <v>68</v>
      </c>
      <c r="B36" s="10">
        <v>48132.08</v>
      </c>
    </row>
    <row r="37" spans="1:2" outlineLevel="2" x14ac:dyDescent="0.25">
      <c r="A37" s="4" t="s">
        <v>174</v>
      </c>
      <c r="B37" s="10">
        <v>0</v>
      </c>
    </row>
    <row r="38" spans="1:2" outlineLevel="3" x14ac:dyDescent="0.25">
      <c r="A38" s="6" t="s">
        <v>175</v>
      </c>
      <c r="B38" s="10">
        <v>582</v>
      </c>
    </row>
    <row r="39" spans="1:2" outlineLevel="3" x14ac:dyDescent="0.25">
      <c r="A39" s="6" t="s">
        <v>176</v>
      </c>
      <c r="B39" s="10">
        <v>2000</v>
      </c>
    </row>
    <row r="40" spans="1:2" outlineLevel="3" x14ac:dyDescent="0.25">
      <c r="A40" s="6" t="s">
        <v>177</v>
      </c>
      <c r="B40" s="10">
        <v>0</v>
      </c>
    </row>
    <row r="41" spans="1:2" outlineLevel="4" x14ac:dyDescent="0.25">
      <c r="A41" s="23" t="s">
        <v>178</v>
      </c>
      <c r="B41" s="12"/>
    </row>
    <row r="42" spans="1:2" outlineLevel="4" x14ac:dyDescent="0.25">
      <c r="A42" s="23" t="s">
        <v>75</v>
      </c>
      <c r="B42" s="10">
        <v>27868.68</v>
      </c>
    </row>
    <row r="43" spans="1:2" outlineLevel="4" x14ac:dyDescent="0.25">
      <c r="A43" s="23" t="s">
        <v>179</v>
      </c>
      <c r="B43" s="10">
        <v>8346.85</v>
      </c>
    </row>
    <row r="44" spans="1:2" outlineLevel="4" x14ac:dyDescent="0.25">
      <c r="A44" s="23" t="s">
        <v>76</v>
      </c>
      <c r="B44" s="10">
        <v>10460.15</v>
      </c>
    </row>
    <row r="45" spans="1:2" outlineLevel="4" x14ac:dyDescent="0.25">
      <c r="A45" s="23" t="s">
        <v>77</v>
      </c>
      <c r="B45" s="10">
        <v>7598.17</v>
      </c>
    </row>
    <row r="46" spans="1:2" outlineLevel="4" x14ac:dyDescent="0.25">
      <c r="A46" s="23" t="s">
        <v>78</v>
      </c>
      <c r="B46" s="10">
        <v>250</v>
      </c>
    </row>
    <row r="47" spans="1:2" outlineLevel="4" x14ac:dyDescent="0.25">
      <c r="A47" s="23" t="s">
        <v>79</v>
      </c>
      <c r="B47" s="10">
        <v>1702.1</v>
      </c>
    </row>
    <row r="48" spans="1:2" outlineLevel="4" x14ac:dyDescent="0.25">
      <c r="A48" s="23" t="s">
        <v>80</v>
      </c>
      <c r="B48" s="10">
        <v>23128.240000000002</v>
      </c>
    </row>
    <row r="49" spans="1:2" outlineLevel="4" x14ac:dyDescent="0.25">
      <c r="A49" s="23" t="s">
        <v>180</v>
      </c>
      <c r="B49" s="10">
        <v>2279.9299999999998</v>
      </c>
    </row>
    <row r="50" spans="1:2" outlineLevel="4" x14ac:dyDescent="0.25">
      <c r="A50" s="23" t="s">
        <v>181</v>
      </c>
      <c r="B50" s="10">
        <v>520</v>
      </c>
    </row>
    <row r="51" spans="1:2" outlineLevel="4" x14ac:dyDescent="0.25">
      <c r="A51" s="23" t="s">
        <v>182</v>
      </c>
      <c r="B51" s="10">
        <v>1723.48</v>
      </c>
    </row>
    <row r="52" spans="1:2" outlineLevel="4" x14ac:dyDescent="0.25">
      <c r="A52" s="23" t="s">
        <v>183</v>
      </c>
      <c r="B52" s="10">
        <v>10135.02</v>
      </c>
    </row>
    <row r="53" spans="1:2" outlineLevel="4" x14ac:dyDescent="0.25">
      <c r="A53" s="23" t="s">
        <v>184</v>
      </c>
      <c r="B53" s="10">
        <v>2107.48</v>
      </c>
    </row>
    <row r="54" spans="1:2" outlineLevel="4" x14ac:dyDescent="0.25">
      <c r="A54" s="23" t="s">
        <v>81</v>
      </c>
      <c r="B54" s="10">
        <v>16565.3</v>
      </c>
    </row>
    <row r="55" spans="1:2" outlineLevel="4" x14ac:dyDescent="0.25">
      <c r="A55" s="23" t="s">
        <v>185</v>
      </c>
      <c r="B55" s="10">
        <v>280.74</v>
      </c>
    </row>
    <row r="56" spans="1:2" outlineLevel="4" x14ac:dyDescent="0.25">
      <c r="A56" s="23" t="s">
        <v>82</v>
      </c>
      <c r="B56" s="10">
        <v>10278.459999999999</v>
      </c>
    </row>
    <row r="57" spans="1:2" outlineLevel="4" x14ac:dyDescent="0.25">
      <c r="A57" s="23" t="s">
        <v>83</v>
      </c>
      <c r="B57" s="10">
        <v>298.86</v>
      </c>
    </row>
    <row r="58" spans="1:2" outlineLevel="4" x14ac:dyDescent="0.25">
      <c r="A58" s="23" t="s">
        <v>186</v>
      </c>
      <c r="B58" s="10">
        <v>4346.43</v>
      </c>
    </row>
    <row r="59" spans="1:2" outlineLevel="4" x14ac:dyDescent="0.25">
      <c r="A59" s="23" t="s">
        <v>187</v>
      </c>
      <c r="B59" s="10">
        <v>8976.41</v>
      </c>
    </row>
    <row r="60" spans="1:2" outlineLevel="4" x14ac:dyDescent="0.25">
      <c r="A60" s="23" t="s">
        <v>87</v>
      </c>
      <c r="B60" s="10">
        <v>9996.6200000000008</v>
      </c>
    </row>
    <row r="61" spans="1:2" outlineLevel="4" x14ac:dyDescent="0.25">
      <c r="A61" s="23" t="s">
        <v>188</v>
      </c>
      <c r="B61" s="10">
        <v>3228.55</v>
      </c>
    </row>
    <row r="62" spans="1:2" outlineLevel="4" x14ac:dyDescent="0.25">
      <c r="A62" s="23" t="s">
        <v>189</v>
      </c>
      <c r="B62" s="10">
        <v>6382.06</v>
      </c>
    </row>
    <row r="63" spans="1:2" outlineLevel="5" x14ac:dyDescent="0.25">
      <c r="A63" s="26" t="s">
        <v>190</v>
      </c>
      <c r="B63" s="10">
        <v>3071.78</v>
      </c>
    </row>
    <row r="64" spans="1:2" outlineLevel="4" x14ac:dyDescent="0.25">
      <c r="A64" s="27" t="s">
        <v>191</v>
      </c>
      <c r="B64" s="11">
        <f>B62+B63</f>
        <v>9453.84</v>
      </c>
    </row>
    <row r="65" spans="1:2" outlineLevel="4" x14ac:dyDescent="0.25">
      <c r="A65" s="23" t="s">
        <v>192</v>
      </c>
      <c r="B65" s="10">
        <v>10345.280000000001</v>
      </c>
    </row>
    <row r="66" spans="1:2" outlineLevel="5" x14ac:dyDescent="0.25">
      <c r="A66" s="26" t="s">
        <v>193</v>
      </c>
      <c r="B66" s="10">
        <v>7366.49</v>
      </c>
    </row>
    <row r="67" spans="1:2" outlineLevel="4" x14ac:dyDescent="0.25">
      <c r="A67" s="27" t="s">
        <v>194</v>
      </c>
      <c r="B67" s="11">
        <f>B65+B66</f>
        <v>17711.77</v>
      </c>
    </row>
    <row r="68" spans="1:2" outlineLevel="4" x14ac:dyDescent="0.25">
      <c r="A68" s="23" t="s">
        <v>195</v>
      </c>
      <c r="B68" s="10">
        <v>6670.92</v>
      </c>
    </row>
    <row r="69" spans="1:2" outlineLevel="3" x14ac:dyDescent="0.25">
      <c r="A69" s="24" t="s">
        <v>196</v>
      </c>
      <c r="B69" s="11">
        <f>B40+B41+B42+B43+B44+B45+B46+B47+B48+B49+B50+B51+B52+B53+B54+B55+B56+B57+B58+B59+B60+B61+B64+B67+B68</f>
        <v>183928</v>
      </c>
    </row>
    <row r="70" spans="1:2" outlineLevel="2" x14ac:dyDescent="0.25">
      <c r="A70" s="7" t="s">
        <v>197</v>
      </c>
      <c r="B70" s="11">
        <f>B37+B38+B39+B69</f>
        <v>186510</v>
      </c>
    </row>
    <row r="71" spans="1:2" outlineLevel="1" x14ac:dyDescent="0.25">
      <c r="A71" s="5" t="s">
        <v>198</v>
      </c>
      <c r="B71" s="11">
        <f>B34+B35+B36+B70</f>
        <v>519351.61000000098</v>
      </c>
    </row>
    <row r="72" spans="1:2" x14ac:dyDescent="0.25">
      <c r="A72" s="8" t="s">
        <v>199</v>
      </c>
      <c r="B72" s="11">
        <f>B33+B71</f>
        <v>519351.61000000098</v>
      </c>
    </row>
    <row r="76" spans="1:2" x14ac:dyDescent="0.25">
      <c r="A76" s="32" t="s">
        <v>200</v>
      </c>
      <c r="B76" s="29"/>
    </row>
  </sheetData>
  <mergeCells count="4">
    <mergeCell ref="A1:B1"/>
    <mergeCell ref="A2:B2"/>
    <mergeCell ref="A3:B3"/>
    <mergeCell ref="A76:B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B76"/>
  <sheetViews>
    <sheetView workbookViewId="0">
      <selection activeCell="E21" sqref="E21"/>
    </sheetView>
  </sheetViews>
  <sheetFormatPr defaultColWidth="11.25" defaultRowHeight="15.75" outlineLevelRow="3" x14ac:dyDescent="0.25"/>
  <cols>
    <col min="1" max="1" width="33.25" style="1" customWidth="1"/>
    <col min="2" max="2" width="16.125" style="1" customWidth="1"/>
  </cols>
  <sheetData>
    <row r="1" spans="1:2" x14ac:dyDescent="0.25">
      <c r="A1" s="28" t="s">
        <v>0</v>
      </c>
      <c r="B1" s="29"/>
    </row>
    <row r="2" spans="1:2" x14ac:dyDescent="0.25">
      <c r="A2" s="30" t="s">
        <v>1</v>
      </c>
      <c r="B2" s="29"/>
    </row>
    <row r="3" spans="1:2" x14ac:dyDescent="0.25">
      <c r="A3" s="31" t="s">
        <v>2</v>
      </c>
      <c r="B3" s="29"/>
    </row>
    <row r="5" spans="1:2" x14ac:dyDescent="0.25">
      <c r="A5" s="9" t="s">
        <v>69</v>
      </c>
      <c r="B5" s="9" t="s">
        <v>70</v>
      </c>
    </row>
    <row r="6" spans="1:2" x14ac:dyDescent="0.25">
      <c r="A6" s="2" t="s">
        <v>3</v>
      </c>
    </row>
    <row r="7" spans="1:2" outlineLevel="1" x14ac:dyDescent="0.25">
      <c r="A7" s="3" t="s">
        <v>4</v>
      </c>
      <c r="B7" s="10">
        <v>0</v>
      </c>
    </row>
    <row r="8" spans="1:2" outlineLevel="2" x14ac:dyDescent="0.25">
      <c r="A8" s="4" t="s">
        <v>5</v>
      </c>
      <c r="B8" s="10">
        <v>707.01</v>
      </c>
    </row>
    <row r="9" spans="1:2" outlineLevel="2" x14ac:dyDescent="0.25">
      <c r="A9" s="4" t="s">
        <v>6</v>
      </c>
      <c r="B9" s="10">
        <v>500</v>
      </c>
    </row>
    <row r="10" spans="1:2" outlineLevel="2" x14ac:dyDescent="0.25">
      <c r="A10" s="4" t="s">
        <v>7</v>
      </c>
      <c r="B10" s="10">
        <v>13887</v>
      </c>
    </row>
    <row r="11" spans="1:2" outlineLevel="2" x14ac:dyDescent="0.25">
      <c r="A11" s="4" t="s">
        <v>8</v>
      </c>
      <c r="B11" s="10">
        <v>24</v>
      </c>
    </row>
    <row r="12" spans="1:2" outlineLevel="2" x14ac:dyDescent="0.25">
      <c r="A12" s="4" t="s">
        <v>9</v>
      </c>
      <c r="B12" s="10">
        <v>582</v>
      </c>
    </row>
    <row r="13" spans="1:2" outlineLevel="2" x14ac:dyDescent="0.25">
      <c r="A13" s="4" t="s">
        <v>10</v>
      </c>
      <c r="B13" s="10">
        <v>9150</v>
      </c>
    </row>
    <row r="14" spans="1:2" outlineLevel="1" x14ac:dyDescent="0.25">
      <c r="A14" s="5" t="s">
        <v>11</v>
      </c>
      <c r="B14" s="11">
        <f>B7+B8+B9+B10+B11+B12+B13</f>
        <v>24850.010000000002</v>
      </c>
    </row>
    <row r="15" spans="1:2" outlineLevel="1" x14ac:dyDescent="0.25">
      <c r="A15" s="3" t="s">
        <v>12</v>
      </c>
      <c r="B15" s="10">
        <v>0</v>
      </c>
    </row>
    <row r="16" spans="1:2" outlineLevel="2" x14ac:dyDescent="0.25">
      <c r="A16" s="4" t="s">
        <v>13</v>
      </c>
      <c r="B16" s="10">
        <v>17718</v>
      </c>
    </row>
    <row r="17" spans="1:2" outlineLevel="2" x14ac:dyDescent="0.25">
      <c r="A17" s="4" t="s">
        <v>14</v>
      </c>
      <c r="B17" s="10">
        <v>605.35</v>
      </c>
    </row>
    <row r="18" spans="1:2" outlineLevel="2" x14ac:dyDescent="0.25">
      <c r="A18" s="4" t="s">
        <v>15</v>
      </c>
      <c r="B18" s="10">
        <v>0</v>
      </c>
    </row>
    <row r="19" spans="1:2" outlineLevel="3" x14ac:dyDescent="0.25">
      <c r="A19" s="6" t="s">
        <v>16</v>
      </c>
      <c r="B19" s="10">
        <v>6.63</v>
      </c>
    </row>
    <row r="20" spans="1:2" outlineLevel="2" x14ac:dyDescent="0.25">
      <c r="A20" s="7" t="s">
        <v>17</v>
      </c>
      <c r="B20" s="11">
        <f>B18+B19</f>
        <v>6.63</v>
      </c>
    </row>
    <row r="21" spans="1:2" outlineLevel="2" x14ac:dyDescent="0.25">
      <c r="A21" s="4" t="s">
        <v>18</v>
      </c>
      <c r="B21" s="10">
        <v>149</v>
      </c>
    </row>
    <row r="22" spans="1:2" outlineLevel="3" x14ac:dyDescent="0.25">
      <c r="A22" s="6" t="s">
        <v>19</v>
      </c>
      <c r="B22" s="10">
        <v>742</v>
      </c>
    </row>
    <row r="23" spans="1:2" outlineLevel="3" x14ac:dyDescent="0.25">
      <c r="A23" s="6" t="s">
        <v>20</v>
      </c>
      <c r="B23" s="10">
        <v>143</v>
      </c>
    </row>
    <row r="24" spans="1:2" outlineLevel="2" x14ac:dyDescent="0.25">
      <c r="A24" s="7" t="s">
        <v>21</v>
      </c>
      <c r="B24" s="11">
        <f>B21+B22+B23</f>
        <v>1034</v>
      </c>
    </row>
    <row r="25" spans="1:2" outlineLevel="2" x14ac:dyDescent="0.25">
      <c r="A25" s="4" t="s">
        <v>22</v>
      </c>
      <c r="B25" s="10">
        <v>12530.25</v>
      </c>
    </row>
    <row r="26" spans="1:2" outlineLevel="3" x14ac:dyDescent="0.25">
      <c r="A26" s="6" t="s">
        <v>23</v>
      </c>
      <c r="B26" s="10">
        <v>300</v>
      </c>
    </row>
    <row r="27" spans="1:2" outlineLevel="2" x14ac:dyDescent="0.25">
      <c r="A27" s="7" t="s">
        <v>24</v>
      </c>
      <c r="B27" s="11">
        <f>B25+B26</f>
        <v>12830.25</v>
      </c>
    </row>
    <row r="28" spans="1:2" outlineLevel="2" x14ac:dyDescent="0.25">
      <c r="A28" s="4" t="s">
        <v>25</v>
      </c>
      <c r="B28" s="10">
        <v>0</v>
      </c>
    </row>
    <row r="29" spans="1:2" outlineLevel="3" x14ac:dyDescent="0.25">
      <c r="A29" s="6" t="s">
        <v>26</v>
      </c>
      <c r="B29" s="10">
        <v>29857.53</v>
      </c>
    </row>
    <row r="30" spans="1:2" outlineLevel="2" x14ac:dyDescent="0.25">
      <c r="A30" s="7" t="s">
        <v>27</v>
      </c>
      <c r="B30" s="11">
        <f>B28+B29</f>
        <v>29857.53</v>
      </c>
    </row>
    <row r="31" spans="1:2" outlineLevel="2" x14ac:dyDescent="0.25">
      <c r="A31" s="4" t="s">
        <v>28</v>
      </c>
      <c r="B31" s="10">
        <v>0</v>
      </c>
    </row>
    <row r="32" spans="1:2" outlineLevel="3" x14ac:dyDescent="0.25">
      <c r="A32" s="6" t="s">
        <v>29</v>
      </c>
      <c r="B32" s="10">
        <v>1350</v>
      </c>
    </row>
    <row r="33" spans="1:2" outlineLevel="2" x14ac:dyDescent="0.25">
      <c r="A33" s="7" t="s">
        <v>30</v>
      </c>
      <c r="B33" s="11">
        <f>B31+B32</f>
        <v>1350</v>
      </c>
    </row>
    <row r="34" spans="1:2" outlineLevel="1" x14ac:dyDescent="0.25">
      <c r="A34" s="5" t="s">
        <v>31</v>
      </c>
      <c r="B34" s="11">
        <f>B15+B16+B17+B20+B24+B27+B30+B33</f>
        <v>63401.759999999995</v>
      </c>
    </row>
    <row r="35" spans="1:2" outlineLevel="1" x14ac:dyDescent="0.25">
      <c r="A35" s="3" t="s">
        <v>32</v>
      </c>
      <c r="B35" s="12"/>
    </row>
    <row r="36" spans="1:2" x14ac:dyDescent="0.25">
      <c r="A36" s="8" t="s">
        <v>33</v>
      </c>
      <c r="B36" s="11">
        <f>B14+B34+B35</f>
        <v>88251.76999999999</v>
      </c>
    </row>
    <row r="37" spans="1:2" x14ac:dyDescent="0.25">
      <c r="A37" s="2" t="s">
        <v>34</v>
      </c>
      <c r="B37" s="12"/>
    </row>
    <row r="38" spans="1:2" x14ac:dyDescent="0.25">
      <c r="A38" s="8" t="s">
        <v>35</v>
      </c>
      <c r="B38" s="11">
        <f>B36-B37</f>
        <v>88251.76999999999</v>
      </c>
    </row>
    <row r="39" spans="1:2" x14ac:dyDescent="0.25">
      <c r="A39" s="2" t="s">
        <v>36</v>
      </c>
    </row>
    <row r="40" spans="1:2" outlineLevel="1" x14ac:dyDescent="0.25">
      <c r="A40" s="3" t="s">
        <v>37</v>
      </c>
      <c r="B40" s="10">
        <v>380</v>
      </c>
    </row>
    <row r="41" spans="1:2" outlineLevel="2" x14ac:dyDescent="0.25">
      <c r="A41" s="4" t="s">
        <v>38</v>
      </c>
      <c r="B41" s="10">
        <v>214</v>
      </c>
    </row>
    <row r="42" spans="1:2" outlineLevel="1" x14ac:dyDescent="0.25">
      <c r="A42" s="5" t="s">
        <v>39</v>
      </c>
      <c r="B42" s="11">
        <f>B40+B41</f>
        <v>594</v>
      </c>
    </row>
    <row r="43" spans="1:2" outlineLevel="1" x14ac:dyDescent="0.25">
      <c r="A43" s="3" t="s">
        <v>40</v>
      </c>
      <c r="B43" s="10">
        <v>0</v>
      </c>
    </row>
    <row r="44" spans="1:2" outlineLevel="2" x14ac:dyDescent="0.25">
      <c r="A44" s="4" t="s">
        <v>41</v>
      </c>
      <c r="B44" s="10">
        <v>264</v>
      </c>
    </row>
    <row r="45" spans="1:2" outlineLevel="2" x14ac:dyDescent="0.25">
      <c r="A45" s="4" t="s">
        <v>42</v>
      </c>
      <c r="B45" s="10">
        <v>3132.3</v>
      </c>
    </row>
    <row r="46" spans="1:2" outlineLevel="1" x14ac:dyDescent="0.25">
      <c r="A46" s="5" t="s">
        <v>43</v>
      </c>
      <c r="B46" s="11">
        <f>B43+B44+B45</f>
        <v>3396.3</v>
      </c>
    </row>
    <row r="47" spans="1:2" outlineLevel="1" x14ac:dyDescent="0.25">
      <c r="A47" s="3" t="s">
        <v>44</v>
      </c>
      <c r="B47" s="10">
        <v>0</v>
      </c>
    </row>
    <row r="48" spans="1:2" outlineLevel="2" x14ac:dyDescent="0.25">
      <c r="A48" s="4" t="s">
        <v>45</v>
      </c>
      <c r="B48" s="10">
        <v>665.84</v>
      </c>
    </row>
    <row r="49" spans="1:2" outlineLevel="2" x14ac:dyDescent="0.25">
      <c r="A49" s="4" t="s">
        <v>46</v>
      </c>
      <c r="B49" s="10">
        <v>935.42</v>
      </c>
    </row>
    <row r="50" spans="1:2" outlineLevel="2" x14ac:dyDescent="0.25">
      <c r="A50" s="4" t="s">
        <v>47</v>
      </c>
      <c r="B50" s="10">
        <v>0</v>
      </c>
    </row>
    <row r="51" spans="1:2" outlineLevel="3" x14ac:dyDescent="0.25">
      <c r="A51" s="6" t="s">
        <v>48</v>
      </c>
      <c r="B51" s="10">
        <v>2100</v>
      </c>
    </row>
    <row r="52" spans="1:2" outlineLevel="2" x14ac:dyDescent="0.25">
      <c r="A52" s="7" t="s">
        <v>49</v>
      </c>
      <c r="B52" s="11">
        <f>B50+B51</f>
        <v>2100</v>
      </c>
    </row>
    <row r="53" spans="1:2" outlineLevel="2" x14ac:dyDescent="0.25">
      <c r="A53" s="4" t="s">
        <v>50</v>
      </c>
      <c r="B53" s="10">
        <v>811.68</v>
      </c>
    </row>
    <row r="54" spans="1:2" outlineLevel="2" x14ac:dyDescent="0.25">
      <c r="A54" s="4" t="s">
        <v>51</v>
      </c>
      <c r="B54" s="10">
        <v>5881.56</v>
      </c>
    </row>
    <row r="55" spans="1:2" outlineLevel="2" x14ac:dyDescent="0.25">
      <c r="A55" s="4" t="s">
        <v>52</v>
      </c>
      <c r="B55" s="10">
        <v>1290</v>
      </c>
    </row>
    <row r="56" spans="1:2" outlineLevel="2" x14ac:dyDescent="0.25">
      <c r="A56" s="4" t="s">
        <v>53</v>
      </c>
      <c r="B56" s="10">
        <v>0</v>
      </c>
    </row>
    <row r="57" spans="1:2" outlineLevel="3" x14ac:dyDescent="0.25">
      <c r="A57" s="6" t="s">
        <v>54</v>
      </c>
      <c r="B57" s="10">
        <v>228</v>
      </c>
    </row>
    <row r="58" spans="1:2" outlineLevel="2" x14ac:dyDescent="0.25">
      <c r="A58" s="7" t="s">
        <v>55</v>
      </c>
      <c r="B58" s="11">
        <f>B56+B57</f>
        <v>228</v>
      </c>
    </row>
    <row r="59" spans="1:2" outlineLevel="2" x14ac:dyDescent="0.25">
      <c r="A59" s="4" t="s">
        <v>56</v>
      </c>
      <c r="B59" s="10">
        <v>955</v>
      </c>
    </row>
    <row r="60" spans="1:2" outlineLevel="1" x14ac:dyDescent="0.25">
      <c r="A60" s="5" t="s">
        <v>57</v>
      </c>
      <c r="B60" s="11">
        <f>B47+B48+B49+B52+B53+B54+B55+B58+B59</f>
        <v>12867.5</v>
      </c>
    </row>
    <row r="61" spans="1:2" outlineLevel="1" x14ac:dyDescent="0.25">
      <c r="A61" s="3" t="s">
        <v>58</v>
      </c>
      <c r="B61" s="10">
        <v>11752.75</v>
      </c>
    </row>
    <row r="62" spans="1:2" outlineLevel="2" x14ac:dyDescent="0.25">
      <c r="A62" s="4" t="s">
        <v>26</v>
      </c>
      <c r="B62" s="10">
        <v>11556.46</v>
      </c>
    </row>
    <row r="63" spans="1:2" outlineLevel="1" x14ac:dyDescent="0.25">
      <c r="A63" s="5" t="s">
        <v>59</v>
      </c>
      <c r="B63" s="11">
        <f>B61+B62</f>
        <v>23309.21</v>
      </c>
    </row>
    <row r="64" spans="1:2" x14ac:dyDescent="0.25">
      <c r="A64" s="8" t="s">
        <v>60</v>
      </c>
      <c r="B64" s="11">
        <f>B42+B46+B60+B63</f>
        <v>40167.009999999995</v>
      </c>
    </row>
    <row r="65" spans="1:2" x14ac:dyDescent="0.25">
      <c r="A65" s="8" t="s">
        <v>61</v>
      </c>
      <c r="B65" s="11">
        <f>B38-B64</f>
        <v>48084.759999999995</v>
      </c>
    </row>
    <row r="66" spans="1:2" x14ac:dyDescent="0.25">
      <c r="A66" s="2" t="s">
        <v>62</v>
      </c>
    </row>
    <row r="67" spans="1:2" outlineLevel="1" x14ac:dyDescent="0.25">
      <c r="A67" s="3" t="s">
        <v>63</v>
      </c>
      <c r="B67" s="10">
        <v>2.3199999999999998</v>
      </c>
    </row>
    <row r="68" spans="1:2" outlineLevel="1" x14ac:dyDescent="0.25">
      <c r="A68" s="3" t="s">
        <v>64</v>
      </c>
      <c r="B68" s="10">
        <v>45</v>
      </c>
    </row>
    <row r="69" spans="1:2" x14ac:dyDescent="0.25">
      <c r="A69" s="8" t="s">
        <v>65</v>
      </c>
      <c r="B69" s="11">
        <f>B67+B68</f>
        <v>47.32</v>
      </c>
    </row>
    <row r="70" spans="1:2" x14ac:dyDescent="0.25">
      <c r="A70" s="2" t="s">
        <v>66</v>
      </c>
      <c r="B70" s="12"/>
    </row>
    <row r="71" spans="1:2" x14ac:dyDescent="0.25">
      <c r="A71" s="8" t="s">
        <v>67</v>
      </c>
      <c r="B71" s="11">
        <f>B69-B70</f>
        <v>47.32</v>
      </c>
    </row>
    <row r="72" spans="1:2" x14ac:dyDescent="0.25">
      <c r="A72" s="8" t="s">
        <v>68</v>
      </c>
      <c r="B72" s="11">
        <f>B65+B71</f>
        <v>48132.079999999994</v>
      </c>
    </row>
    <row r="76" spans="1:2" x14ac:dyDescent="0.25">
      <c r="A76" s="32" t="s">
        <v>71</v>
      </c>
      <c r="B76" s="29"/>
    </row>
  </sheetData>
  <mergeCells count="4">
    <mergeCell ref="A1:B1"/>
    <mergeCell ref="A2:B2"/>
    <mergeCell ref="A3:B3"/>
    <mergeCell ref="A76:B7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730A-047D-4996-86F3-609E7C66BEB3}">
  <dimension ref="A1:B62"/>
  <sheetViews>
    <sheetView workbookViewId="0">
      <selection activeCell="D19" sqref="D19"/>
    </sheetView>
  </sheetViews>
  <sheetFormatPr defaultColWidth="11.25" defaultRowHeight="15.75" outlineLevelRow="3" x14ac:dyDescent="0.25"/>
  <cols>
    <col min="1" max="1" width="33.25" style="1" customWidth="1"/>
    <col min="2" max="2" width="16.125" style="1" customWidth="1"/>
  </cols>
  <sheetData>
    <row r="1" spans="1:2" x14ac:dyDescent="0.25">
      <c r="A1" s="28" t="s">
        <v>0</v>
      </c>
      <c r="B1" s="29"/>
    </row>
    <row r="2" spans="1:2" x14ac:dyDescent="0.25">
      <c r="A2" s="30" t="s">
        <v>1</v>
      </c>
      <c r="B2" s="29"/>
    </row>
    <row r="3" spans="1:2" x14ac:dyDescent="0.25">
      <c r="A3" s="31" t="s">
        <v>72</v>
      </c>
      <c r="B3" s="29"/>
    </row>
    <row r="5" spans="1:2" x14ac:dyDescent="0.25">
      <c r="A5" s="9" t="s">
        <v>69</v>
      </c>
      <c r="B5" s="9" t="s">
        <v>70</v>
      </c>
    </row>
    <row r="6" spans="1:2" x14ac:dyDescent="0.25">
      <c r="A6" s="2" t="s">
        <v>3</v>
      </c>
    </row>
    <row r="7" spans="1:2" outlineLevel="1" x14ac:dyDescent="0.25">
      <c r="A7" s="3" t="s">
        <v>4</v>
      </c>
      <c r="B7" s="10">
        <v>0</v>
      </c>
    </row>
    <row r="8" spans="1:2" outlineLevel="2" x14ac:dyDescent="0.25">
      <c r="A8" s="4" t="s">
        <v>5</v>
      </c>
      <c r="B8" s="10">
        <v>207.99</v>
      </c>
    </row>
    <row r="9" spans="1:2" outlineLevel="2" x14ac:dyDescent="0.25">
      <c r="A9" s="4" t="s">
        <v>6</v>
      </c>
      <c r="B9" s="10">
        <v>500</v>
      </c>
    </row>
    <row r="10" spans="1:2" outlineLevel="2" x14ac:dyDescent="0.25">
      <c r="A10" s="4" t="s">
        <v>7</v>
      </c>
      <c r="B10" s="10">
        <v>13887</v>
      </c>
    </row>
    <row r="11" spans="1:2" outlineLevel="2" x14ac:dyDescent="0.25">
      <c r="A11" s="4" t="s">
        <v>10</v>
      </c>
      <c r="B11" s="10">
        <v>7800</v>
      </c>
    </row>
    <row r="12" spans="1:2" outlineLevel="1" x14ac:dyDescent="0.25">
      <c r="A12" s="5" t="s">
        <v>11</v>
      </c>
      <c r="B12" s="11">
        <f>B7+B8+B9+B10+B11</f>
        <v>22394.989999999998</v>
      </c>
    </row>
    <row r="13" spans="1:2" outlineLevel="1" x14ac:dyDescent="0.25">
      <c r="A13" s="3" t="s">
        <v>12</v>
      </c>
      <c r="B13" s="10">
        <v>0</v>
      </c>
    </row>
    <row r="14" spans="1:2" outlineLevel="2" x14ac:dyDescent="0.25">
      <c r="A14" s="4" t="s">
        <v>13</v>
      </c>
      <c r="B14" s="10">
        <v>17718</v>
      </c>
    </row>
    <row r="15" spans="1:2" outlineLevel="2" x14ac:dyDescent="0.25">
      <c r="A15" s="4" t="s">
        <v>14</v>
      </c>
      <c r="B15" s="10">
        <v>460</v>
      </c>
    </row>
    <row r="16" spans="1:2" outlineLevel="2" x14ac:dyDescent="0.25">
      <c r="A16" s="4" t="s">
        <v>15</v>
      </c>
      <c r="B16" s="10">
        <v>0</v>
      </c>
    </row>
    <row r="17" spans="1:2" outlineLevel="3" x14ac:dyDescent="0.25">
      <c r="A17" s="6" t="s">
        <v>16</v>
      </c>
      <c r="B17" s="10">
        <v>6.63</v>
      </c>
    </row>
    <row r="18" spans="1:2" outlineLevel="2" x14ac:dyDescent="0.25">
      <c r="A18" s="7" t="s">
        <v>17</v>
      </c>
      <c r="B18" s="11">
        <f>B16+B17</f>
        <v>6.63</v>
      </c>
    </row>
    <row r="19" spans="1:2" outlineLevel="2" x14ac:dyDescent="0.25">
      <c r="A19" s="4" t="s">
        <v>22</v>
      </c>
      <c r="B19" s="10">
        <v>12530.25</v>
      </c>
    </row>
    <row r="20" spans="1:2" outlineLevel="2" x14ac:dyDescent="0.25">
      <c r="A20" s="4" t="s">
        <v>25</v>
      </c>
      <c r="B20" s="10">
        <v>0</v>
      </c>
    </row>
    <row r="21" spans="1:2" outlineLevel="3" x14ac:dyDescent="0.25">
      <c r="A21" s="6" t="s">
        <v>26</v>
      </c>
      <c r="B21" s="10">
        <v>26421.42</v>
      </c>
    </row>
    <row r="22" spans="1:2" outlineLevel="2" x14ac:dyDescent="0.25">
      <c r="A22" s="7" t="s">
        <v>27</v>
      </c>
      <c r="B22" s="11">
        <f>B20+B21</f>
        <v>26421.42</v>
      </c>
    </row>
    <row r="23" spans="1:2" outlineLevel="2" x14ac:dyDescent="0.25">
      <c r="A23" s="4" t="s">
        <v>28</v>
      </c>
      <c r="B23" s="10">
        <v>0</v>
      </c>
    </row>
    <row r="24" spans="1:2" outlineLevel="3" x14ac:dyDescent="0.25">
      <c r="A24" s="6" t="s">
        <v>29</v>
      </c>
      <c r="B24" s="10">
        <v>1350</v>
      </c>
    </row>
    <row r="25" spans="1:2" outlineLevel="2" x14ac:dyDescent="0.25">
      <c r="A25" s="7" t="s">
        <v>30</v>
      </c>
      <c r="B25" s="11">
        <f>B23+B24</f>
        <v>1350</v>
      </c>
    </row>
    <row r="26" spans="1:2" outlineLevel="1" x14ac:dyDescent="0.25">
      <c r="A26" s="5" t="s">
        <v>31</v>
      </c>
      <c r="B26" s="11">
        <f>B13+B14+B15+B18+B19+B22+B25</f>
        <v>58486.3</v>
      </c>
    </row>
    <row r="27" spans="1:2" outlineLevel="1" x14ac:dyDescent="0.25">
      <c r="A27" s="3" t="s">
        <v>32</v>
      </c>
      <c r="B27" s="12"/>
    </row>
    <row r="28" spans="1:2" x14ac:dyDescent="0.25">
      <c r="A28" s="8" t="s">
        <v>33</v>
      </c>
      <c r="B28" s="11">
        <f>B12+B26+B27</f>
        <v>80881.290000000008</v>
      </c>
    </row>
    <row r="29" spans="1:2" x14ac:dyDescent="0.25">
      <c r="A29" s="2" t="s">
        <v>34</v>
      </c>
      <c r="B29" s="12"/>
    </row>
    <row r="30" spans="1:2" x14ac:dyDescent="0.25">
      <c r="A30" s="8" t="s">
        <v>35</v>
      </c>
      <c r="B30" s="11">
        <f>B28-B29</f>
        <v>80881.290000000008</v>
      </c>
    </row>
    <row r="31" spans="1:2" x14ac:dyDescent="0.25">
      <c r="A31" s="2" t="s">
        <v>36</v>
      </c>
    </row>
    <row r="32" spans="1:2" outlineLevel="1" x14ac:dyDescent="0.25">
      <c r="A32" s="3" t="s">
        <v>37</v>
      </c>
      <c r="B32" s="10">
        <v>360</v>
      </c>
    </row>
    <row r="33" spans="1:2" outlineLevel="2" x14ac:dyDescent="0.25">
      <c r="A33" s="4" t="s">
        <v>38</v>
      </c>
      <c r="B33" s="10">
        <v>115</v>
      </c>
    </row>
    <row r="34" spans="1:2" outlineLevel="1" x14ac:dyDescent="0.25">
      <c r="A34" s="5" t="s">
        <v>39</v>
      </c>
      <c r="B34" s="11">
        <f>B32+B33</f>
        <v>475</v>
      </c>
    </row>
    <row r="35" spans="1:2" outlineLevel="1" x14ac:dyDescent="0.25">
      <c r="A35" s="3" t="s">
        <v>40</v>
      </c>
      <c r="B35" s="10">
        <v>0</v>
      </c>
    </row>
    <row r="36" spans="1:2" outlineLevel="2" x14ac:dyDescent="0.25">
      <c r="A36" s="4" t="s">
        <v>41</v>
      </c>
      <c r="B36" s="10">
        <v>264</v>
      </c>
    </row>
    <row r="37" spans="1:2" outlineLevel="2" x14ac:dyDescent="0.25">
      <c r="A37" s="4" t="s">
        <v>42</v>
      </c>
      <c r="B37" s="10">
        <v>2300</v>
      </c>
    </row>
    <row r="38" spans="1:2" outlineLevel="1" x14ac:dyDescent="0.25">
      <c r="A38" s="5" t="s">
        <v>43</v>
      </c>
      <c r="B38" s="11">
        <f>B35+B36+B37</f>
        <v>2564</v>
      </c>
    </row>
    <row r="39" spans="1:2" outlineLevel="1" x14ac:dyDescent="0.25">
      <c r="A39" s="3" t="s">
        <v>44</v>
      </c>
      <c r="B39" s="10">
        <v>0</v>
      </c>
    </row>
    <row r="40" spans="1:2" outlineLevel="2" x14ac:dyDescent="0.25">
      <c r="A40" s="4" t="s">
        <v>45</v>
      </c>
      <c r="B40" s="10">
        <v>79.680000000000007</v>
      </c>
    </row>
    <row r="41" spans="1:2" outlineLevel="2" x14ac:dyDescent="0.25">
      <c r="A41" s="4" t="s">
        <v>47</v>
      </c>
      <c r="B41" s="10">
        <v>0</v>
      </c>
    </row>
    <row r="42" spans="1:2" outlineLevel="3" x14ac:dyDescent="0.25">
      <c r="A42" s="6" t="s">
        <v>48</v>
      </c>
      <c r="B42" s="10">
        <v>2100</v>
      </c>
    </row>
    <row r="43" spans="1:2" outlineLevel="2" x14ac:dyDescent="0.25">
      <c r="A43" s="7" t="s">
        <v>49</v>
      </c>
      <c r="B43" s="11">
        <f>B41+B42</f>
        <v>2100</v>
      </c>
    </row>
    <row r="44" spans="1:2" outlineLevel="2" x14ac:dyDescent="0.25">
      <c r="A44" s="4" t="s">
        <v>50</v>
      </c>
      <c r="B44" s="10">
        <v>-74.75</v>
      </c>
    </row>
    <row r="45" spans="1:2" outlineLevel="2" x14ac:dyDescent="0.25">
      <c r="A45" s="4" t="s">
        <v>51</v>
      </c>
      <c r="B45" s="10">
        <v>2031.56</v>
      </c>
    </row>
    <row r="46" spans="1:2" outlineLevel="2" x14ac:dyDescent="0.25">
      <c r="A46" s="4" t="s">
        <v>56</v>
      </c>
      <c r="B46" s="10">
        <v>250</v>
      </c>
    </row>
    <row r="47" spans="1:2" outlineLevel="1" x14ac:dyDescent="0.25">
      <c r="A47" s="5" t="s">
        <v>57</v>
      </c>
      <c r="B47" s="11">
        <f>B39+B40+B43+B44+B45+B46</f>
        <v>4386.49</v>
      </c>
    </row>
    <row r="48" spans="1:2" outlineLevel="1" x14ac:dyDescent="0.25">
      <c r="A48" s="3" t="s">
        <v>58</v>
      </c>
      <c r="B48" s="10">
        <v>10719.44</v>
      </c>
    </row>
    <row r="49" spans="1:2" outlineLevel="2" x14ac:dyDescent="0.25">
      <c r="A49" s="4" t="s">
        <v>26</v>
      </c>
      <c r="B49" s="10">
        <v>10643.56</v>
      </c>
    </row>
    <row r="50" spans="1:2" outlineLevel="1" x14ac:dyDescent="0.25">
      <c r="A50" s="5" t="s">
        <v>59</v>
      </c>
      <c r="B50" s="11">
        <f>B48+B49</f>
        <v>21363</v>
      </c>
    </row>
    <row r="51" spans="1:2" x14ac:dyDescent="0.25">
      <c r="A51" s="8" t="s">
        <v>60</v>
      </c>
      <c r="B51" s="11">
        <f>B34+B38+B47+B50</f>
        <v>28788.489999999998</v>
      </c>
    </row>
    <row r="52" spans="1:2" x14ac:dyDescent="0.25">
      <c r="A52" s="8" t="s">
        <v>61</v>
      </c>
      <c r="B52" s="11">
        <f>B30-B51</f>
        <v>52092.80000000001</v>
      </c>
    </row>
    <row r="53" spans="1:2" x14ac:dyDescent="0.25">
      <c r="A53" s="2" t="s">
        <v>62</v>
      </c>
    </row>
    <row r="54" spans="1:2" outlineLevel="1" x14ac:dyDescent="0.25">
      <c r="A54" s="3" t="s">
        <v>63</v>
      </c>
      <c r="B54" s="10">
        <v>1.18</v>
      </c>
    </row>
    <row r="55" spans="1:2" x14ac:dyDescent="0.25">
      <c r="A55" s="8" t="s">
        <v>65</v>
      </c>
      <c r="B55" s="11">
        <f>B54</f>
        <v>1.18</v>
      </c>
    </row>
    <row r="56" spans="1:2" x14ac:dyDescent="0.25">
      <c r="A56" s="2" t="s">
        <v>66</v>
      </c>
      <c r="B56" s="12"/>
    </row>
    <row r="57" spans="1:2" x14ac:dyDescent="0.25">
      <c r="A57" s="8" t="s">
        <v>67</v>
      </c>
      <c r="B57" s="11">
        <f>B55-B56</f>
        <v>1.18</v>
      </c>
    </row>
    <row r="58" spans="1:2" x14ac:dyDescent="0.25">
      <c r="A58" s="8" t="s">
        <v>68</v>
      </c>
      <c r="B58" s="11">
        <f>B52+B57</f>
        <v>52093.98000000001</v>
      </c>
    </row>
    <row r="62" spans="1:2" x14ac:dyDescent="0.25">
      <c r="A62" s="32" t="s">
        <v>73</v>
      </c>
      <c r="B62" s="29"/>
    </row>
  </sheetData>
  <mergeCells count="4">
    <mergeCell ref="A1:B1"/>
    <mergeCell ref="A2:B2"/>
    <mergeCell ref="A3:B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92CB-A07C-4C9D-842A-A0FC86FB33A0}">
  <dimension ref="A1:O59"/>
  <sheetViews>
    <sheetView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F61" sqref="F61"/>
    </sheetView>
  </sheetViews>
  <sheetFormatPr defaultRowHeight="15.75" x14ac:dyDescent="0.25"/>
  <cols>
    <col min="1" max="1" width="33.25" customWidth="1"/>
    <col min="2" max="15" width="8.5" customWidth="1"/>
  </cols>
  <sheetData>
    <row r="1" spans="1:15" ht="18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5">
      <c r="A3" s="35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1:15" ht="60.75" x14ac:dyDescent="0.25">
      <c r="A5" s="1"/>
      <c r="B5" s="13" t="s">
        <v>75</v>
      </c>
      <c r="C5" s="13" t="s">
        <v>76</v>
      </c>
      <c r="D5" s="13" t="s">
        <v>77</v>
      </c>
      <c r="E5" s="13" t="s">
        <v>78</v>
      </c>
      <c r="F5" s="13" t="s">
        <v>79</v>
      </c>
      <c r="G5" s="13" t="s">
        <v>80</v>
      </c>
      <c r="H5" s="13" t="s">
        <v>81</v>
      </c>
      <c r="I5" s="13" t="s">
        <v>82</v>
      </c>
      <c r="J5" s="13" t="s">
        <v>83</v>
      </c>
      <c r="K5" s="13" t="s">
        <v>84</v>
      </c>
      <c r="L5" s="13" t="s">
        <v>85</v>
      </c>
      <c r="M5" s="13" t="s">
        <v>86</v>
      </c>
      <c r="N5" s="13" t="s">
        <v>87</v>
      </c>
      <c r="O5" s="13" t="s">
        <v>88</v>
      </c>
    </row>
    <row r="6" spans="1:15" x14ac:dyDescent="0.25">
      <c r="A6" s="14" t="s">
        <v>89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4" t="s">
        <v>90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>
        <f t="shared" ref="M7:M28" si="0">(K7)+(L7)</f>
        <v>0</v>
      </c>
      <c r="N7" s="15"/>
      <c r="O7" s="16">
        <f t="shared" ref="O7:O28" si="1">((((((((((B7)+(C7))+(D7))+(E7))+(F7))+(G7))+(H7))+(I7))+(J7))+(M7))+(N7)</f>
        <v>0</v>
      </c>
    </row>
    <row r="8" spans="1:15" x14ac:dyDescent="0.25">
      <c r="A8" s="14" t="s">
        <v>91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>
        <f>207.99</f>
        <v>207.99</v>
      </c>
      <c r="M8" s="16">
        <f t="shared" si="0"/>
        <v>207.99</v>
      </c>
      <c r="N8" s="15"/>
      <c r="O8" s="16">
        <f t="shared" si="1"/>
        <v>207.99</v>
      </c>
    </row>
    <row r="9" spans="1:15" x14ac:dyDescent="0.25">
      <c r="A9" s="14" t="s">
        <v>92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>
        <f>13887</f>
        <v>13887</v>
      </c>
      <c r="M9" s="16">
        <f t="shared" si="0"/>
        <v>13887</v>
      </c>
      <c r="N9" s="15"/>
      <c r="O9" s="16">
        <f t="shared" si="1"/>
        <v>13887</v>
      </c>
    </row>
    <row r="10" spans="1:15" x14ac:dyDescent="0.25">
      <c r="A10" s="14" t="s">
        <v>93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>
        <f>7800</f>
        <v>7800</v>
      </c>
      <c r="M10" s="16">
        <f t="shared" si="0"/>
        <v>7800</v>
      </c>
      <c r="N10" s="15"/>
      <c r="O10" s="16">
        <f t="shared" si="1"/>
        <v>7800</v>
      </c>
    </row>
    <row r="11" spans="1:15" x14ac:dyDescent="0.25">
      <c r="A11" s="14" t="s">
        <v>94</v>
      </c>
      <c r="B11" s="17">
        <f t="shared" ref="B11:L11" si="2">(((B7)+(B8))+(B9))+(B10)</f>
        <v>0</v>
      </c>
      <c r="C11" s="17">
        <f t="shared" si="2"/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21894.989999999998</v>
      </c>
      <c r="M11" s="17">
        <f t="shared" si="0"/>
        <v>21894.989999999998</v>
      </c>
      <c r="N11" s="17">
        <f>(((N7)+(N8))+(N9))+(N10)</f>
        <v>0</v>
      </c>
      <c r="O11" s="17">
        <f t="shared" si="1"/>
        <v>21894.989999999998</v>
      </c>
    </row>
    <row r="12" spans="1:15" x14ac:dyDescent="0.25">
      <c r="A12" s="14" t="s">
        <v>95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>
        <f t="shared" si="0"/>
        <v>0</v>
      </c>
      <c r="N12" s="15"/>
      <c r="O12" s="16">
        <f t="shared" si="1"/>
        <v>0</v>
      </c>
    </row>
    <row r="13" spans="1:15" x14ac:dyDescent="0.25">
      <c r="A13" s="14" t="s">
        <v>96</v>
      </c>
      <c r="B13" s="16">
        <f>250</f>
        <v>250</v>
      </c>
      <c r="C13" s="15"/>
      <c r="D13" s="15"/>
      <c r="E13" s="16">
        <f>250</f>
        <v>250</v>
      </c>
      <c r="F13" s="15"/>
      <c r="G13" s="15"/>
      <c r="H13" s="15"/>
      <c r="I13" s="15"/>
      <c r="J13" s="15"/>
      <c r="K13" s="15"/>
      <c r="L13" s="15"/>
      <c r="M13" s="16">
        <f t="shared" si="0"/>
        <v>0</v>
      </c>
      <c r="N13" s="15"/>
      <c r="O13" s="16">
        <f t="shared" si="1"/>
        <v>500</v>
      </c>
    </row>
    <row r="14" spans="1:15" x14ac:dyDescent="0.25">
      <c r="A14" s="14" t="s">
        <v>97</v>
      </c>
      <c r="B14" s="15"/>
      <c r="C14" s="15"/>
      <c r="D14" s="16">
        <f>17718</f>
        <v>17718</v>
      </c>
      <c r="E14" s="15"/>
      <c r="F14" s="15"/>
      <c r="G14" s="15"/>
      <c r="H14" s="15"/>
      <c r="I14" s="15"/>
      <c r="J14" s="15"/>
      <c r="K14" s="15"/>
      <c r="L14" s="15"/>
      <c r="M14" s="16">
        <f t="shared" si="0"/>
        <v>0</v>
      </c>
      <c r="N14" s="15"/>
      <c r="O14" s="16">
        <f t="shared" si="1"/>
        <v>17718</v>
      </c>
    </row>
    <row r="15" spans="1:15" x14ac:dyDescent="0.25">
      <c r="A15" s="14" t="s">
        <v>98</v>
      </c>
      <c r="B15" s="16">
        <f>250</f>
        <v>250</v>
      </c>
      <c r="C15" s="15"/>
      <c r="D15" s="15"/>
      <c r="E15" s="15"/>
      <c r="F15" s="15"/>
      <c r="G15" s="15"/>
      <c r="H15" s="15"/>
      <c r="I15" s="15"/>
      <c r="J15" s="16">
        <f>210</f>
        <v>210</v>
      </c>
      <c r="K15" s="15"/>
      <c r="L15" s="15"/>
      <c r="M15" s="16">
        <f t="shared" si="0"/>
        <v>0</v>
      </c>
      <c r="N15" s="15"/>
      <c r="O15" s="16">
        <f t="shared" si="1"/>
        <v>460</v>
      </c>
    </row>
    <row r="16" spans="1:15" x14ac:dyDescent="0.25">
      <c r="A16" s="14" t="s">
        <v>99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>
        <f t="shared" si="0"/>
        <v>0</v>
      </c>
      <c r="N16" s="15"/>
      <c r="O16" s="16">
        <f t="shared" si="1"/>
        <v>0</v>
      </c>
    </row>
    <row r="17" spans="1:15" x14ac:dyDescent="0.25">
      <c r="A17" s="14" t="s">
        <v>100</v>
      </c>
      <c r="B17" s="15"/>
      <c r="C17" s="15"/>
      <c r="D17" s="15"/>
      <c r="E17" s="15"/>
      <c r="F17" s="15"/>
      <c r="G17" s="16">
        <f>6.63</f>
        <v>6.63</v>
      </c>
      <c r="H17" s="15"/>
      <c r="I17" s="15"/>
      <c r="J17" s="15"/>
      <c r="K17" s="15"/>
      <c r="L17" s="15"/>
      <c r="M17" s="16">
        <f t="shared" si="0"/>
        <v>0</v>
      </c>
      <c r="N17" s="15"/>
      <c r="O17" s="16">
        <f t="shared" si="1"/>
        <v>6.63</v>
      </c>
    </row>
    <row r="18" spans="1:15" x14ac:dyDescent="0.25">
      <c r="A18" s="14" t="s">
        <v>101</v>
      </c>
      <c r="B18" s="17">
        <f t="shared" ref="B18:L18" si="3">(B16)+(B17)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6.63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0"/>
        <v>0</v>
      </c>
      <c r="N18" s="17">
        <f>(N16)+(N17)</f>
        <v>0</v>
      </c>
      <c r="O18" s="17">
        <f t="shared" si="1"/>
        <v>6.63</v>
      </c>
    </row>
    <row r="19" spans="1:15" x14ac:dyDescent="0.25">
      <c r="A19" s="14" t="s">
        <v>102</v>
      </c>
      <c r="B19" s="15"/>
      <c r="C19" s="16">
        <f>2938</f>
        <v>2938</v>
      </c>
      <c r="D19" s="15"/>
      <c r="E19" s="15"/>
      <c r="F19" s="15"/>
      <c r="G19" s="15"/>
      <c r="H19" s="15"/>
      <c r="I19" s="15"/>
      <c r="J19" s="15"/>
      <c r="K19" s="15"/>
      <c r="L19" s="15"/>
      <c r="M19" s="16">
        <f t="shared" si="0"/>
        <v>0</v>
      </c>
      <c r="N19" s="16">
        <f>9592.25</f>
        <v>9592.25</v>
      </c>
      <c r="O19" s="16">
        <f t="shared" si="1"/>
        <v>12530.25</v>
      </c>
    </row>
    <row r="20" spans="1:15" x14ac:dyDescent="0.25">
      <c r="A20" s="14" t="s">
        <v>103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>
        <f t="shared" si="0"/>
        <v>0</v>
      </c>
      <c r="N20" s="15"/>
      <c r="O20" s="16">
        <f t="shared" si="1"/>
        <v>0</v>
      </c>
    </row>
    <row r="21" spans="1:15" x14ac:dyDescent="0.25">
      <c r="A21" s="14" t="s">
        <v>104</v>
      </c>
      <c r="B21" s="15"/>
      <c r="C21" s="15"/>
      <c r="D21" s="15"/>
      <c r="E21" s="15"/>
      <c r="F21" s="15"/>
      <c r="G21" s="16">
        <f>26421.42</f>
        <v>26421.42</v>
      </c>
      <c r="H21" s="15"/>
      <c r="I21" s="15"/>
      <c r="J21" s="15"/>
      <c r="K21" s="15"/>
      <c r="L21" s="15"/>
      <c r="M21" s="16">
        <f t="shared" si="0"/>
        <v>0</v>
      </c>
      <c r="N21" s="15"/>
      <c r="O21" s="16">
        <f t="shared" si="1"/>
        <v>26421.42</v>
      </c>
    </row>
    <row r="22" spans="1:15" x14ac:dyDescent="0.25">
      <c r="A22" s="14" t="s">
        <v>105</v>
      </c>
      <c r="B22" s="17">
        <f t="shared" ref="B22:L22" si="4">(B20)+(B21)</f>
        <v>0</v>
      </c>
      <c r="C22" s="17">
        <f t="shared" si="4"/>
        <v>0</v>
      </c>
      <c r="D22" s="17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26421.42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>
        <f t="shared" si="0"/>
        <v>0</v>
      </c>
      <c r="N22" s="17">
        <f>(N20)+(N21)</f>
        <v>0</v>
      </c>
      <c r="O22" s="17">
        <f t="shared" si="1"/>
        <v>26421.42</v>
      </c>
    </row>
    <row r="23" spans="1:15" x14ac:dyDescent="0.25">
      <c r="A23" s="14" t="s">
        <v>106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>
        <f t="shared" si="0"/>
        <v>0</v>
      </c>
      <c r="N23" s="15"/>
      <c r="O23" s="16">
        <f t="shared" si="1"/>
        <v>0</v>
      </c>
    </row>
    <row r="24" spans="1:15" x14ac:dyDescent="0.25">
      <c r="A24" s="14" t="s">
        <v>107</v>
      </c>
      <c r="B24" s="15"/>
      <c r="C24" s="15"/>
      <c r="D24" s="15"/>
      <c r="E24" s="15"/>
      <c r="F24" s="15"/>
      <c r="G24" s="15"/>
      <c r="H24" s="15"/>
      <c r="I24" s="16">
        <f>1350</f>
        <v>1350</v>
      </c>
      <c r="J24" s="15"/>
      <c r="K24" s="15"/>
      <c r="L24" s="15"/>
      <c r="M24" s="16">
        <f t="shared" si="0"/>
        <v>0</v>
      </c>
      <c r="N24" s="15"/>
      <c r="O24" s="16">
        <f t="shared" si="1"/>
        <v>1350</v>
      </c>
    </row>
    <row r="25" spans="1:15" x14ac:dyDescent="0.25">
      <c r="A25" s="14" t="s">
        <v>108</v>
      </c>
      <c r="B25" s="17">
        <f t="shared" ref="B25:L25" si="5">(B23)+(B24)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  <c r="H25" s="17">
        <f t="shared" si="5"/>
        <v>0</v>
      </c>
      <c r="I25" s="17">
        <f t="shared" si="5"/>
        <v>1350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0"/>
        <v>0</v>
      </c>
      <c r="N25" s="17">
        <f>(N23)+(N24)</f>
        <v>0</v>
      </c>
      <c r="O25" s="17">
        <f t="shared" si="1"/>
        <v>1350</v>
      </c>
    </row>
    <row r="26" spans="1:15" x14ac:dyDescent="0.25">
      <c r="A26" s="14" t="s">
        <v>109</v>
      </c>
      <c r="B26" s="17">
        <f t="shared" ref="B26:L26" si="6">(((((((B12)+(B13))+(B14))+(B15))+(B18))+(B19))+(B22))+(B25)</f>
        <v>500</v>
      </c>
      <c r="C26" s="17">
        <f t="shared" si="6"/>
        <v>2938</v>
      </c>
      <c r="D26" s="17">
        <f t="shared" si="6"/>
        <v>17718</v>
      </c>
      <c r="E26" s="17">
        <f t="shared" si="6"/>
        <v>250</v>
      </c>
      <c r="F26" s="17">
        <f t="shared" si="6"/>
        <v>0</v>
      </c>
      <c r="G26" s="17">
        <f t="shared" si="6"/>
        <v>26428.05</v>
      </c>
      <c r="H26" s="17">
        <f t="shared" si="6"/>
        <v>0</v>
      </c>
      <c r="I26" s="17">
        <f t="shared" si="6"/>
        <v>1350</v>
      </c>
      <c r="J26" s="17">
        <f t="shared" si="6"/>
        <v>210</v>
      </c>
      <c r="K26" s="17">
        <f t="shared" si="6"/>
        <v>0</v>
      </c>
      <c r="L26" s="17">
        <f t="shared" si="6"/>
        <v>0</v>
      </c>
      <c r="M26" s="17">
        <f t="shared" si="0"/>
        <v>0</v>
      </c>
      <c r="N26" s="17">
        <f>(((((((N12)+(N13))+(N14))+(N15))+(N18))+(N19))+(N22))+(N25)</f>
        <v>9592.25</v>
      </c>
      <c r="O26" s="17">
        <f t="shared" si="1"/>
        <v>58986.3</v>
      </c>
    </row>
    <row r="27" spans="1:15" x14ac:dyDescent="0.25">
      <c r="A27" s="14" t="s">
        <v>110</v>
      </c>
      <c r="B27" s="17">
        <f t="shared" ref="B27:L27" si="7">(B11)+(B26)</f>
        <v>500</v>
      </c>
      <c r="C27" s="17">
        <f t="shared" si="7"/>
        <v>2938</v>
      </c>
      <c r="D27" s="17">
        <f t="shared" si="7"/>
        <v>17718</v>
      </c>
      <c r="E27" s="17">
        <f t="shared" si="7"/>
        <v>250</v>
      </c>
      <c r="F27" s="17">
        <f t="shared" si="7"/>
        <v>0</v>
      </c>
      <c r="G27" s="17">
        <f t="shared" si="7"/>
        <v>26428.05</v>
      </c>
      <c r="H27" s="17">
        <f t="shared" si="7"/>
        <v>0</v>
      </c>
      <c r="I27" s="17">
        <f t="shared" si="7"/>
        <v>1350</v>
      </c>
      <c r="J27" s="17">
        <f t="shared" si="7"/>
        <v>210</v>
      </c>
      <c r="K27" s="17">
        <f t="shared" si="7"/>
        <v>0</v>
      </c>
      <c r="L27" s="17">
        <f t="shared" si="7"/>
        <v>21894.989999999998</v>
      </c>
      <c r="M27" s="17">
        <f t="shared" si="0"/>
        <v>21894.989999999998</v>
      </c>
      <c r="N27" s="17">
        <f>(N11)+(N26)</f>
        <v>9592.25</v>
      </c>
      <c r="O27" s="17">
        <f t="shared" si="1"/>
        <v>80881.290000000008</v>
      </c>
    </row>
    <row r="28" spans="1:15" x14ac:dyDescent="0.25">
      <c r="A28" s="14" t="s">
        <v>35</v>
      </c>
      <c r="B28" s="17">
        <f t="shared" ref="B28:L28" si="8">(B27)-(0)</f>
        <v>500</v>
      </c>
      <c r="C28" s="17">
        <f t="shared" si="8"/>
        <v>2938</v>
      </c>
      <c r="D28" s="17">
        <f t="shared" si="8"/>
        <v>17718</v>
      </c>
      <c r="E28" s="17">
        <f t="shared" si="8"/>
        <v>250</v>
      </c>
      <c r="F28" s="17">
        <f t="shared" si="8"/>
        <v>0</v>
      </c>
      <c r="G28" s="17">
        <f t="shared" si="8"/>
        <v>26428.05</v>
      </c>
      <c r="H28" s="17">
        <f t="shared" si="8"/>
        <v>0</v>
      </c>
      <c r="I28" s="17">
        <f t="shared" si="8"/>
        <v>1350</v>
      </c>
      <c r="J28" s="17">
        <f t="shared" si="8"/>
        <v>210</v>
      </c>
      <c r="K28" s="17">
        <f t="shared" si="8"/>
        <v>0</v>
      </c>
      <c r="L28" s="17">
        <f t="shared" si="8"/>
        <v>21894.989999999998</v>
      </c>
      <c r="M28" s="17">
        <f t="shared" si="0"/>
        <v>21894.989999999998</v>
      </c>
      <c r="N28" s="17">
        <f>(N27)-(0)</f>
        <v>9592.25</v>
      </c>
      <c r="O28" s="17">
        <f t="shared" si="1"/>
        <v>80881.290000000008</v>
      </c>
    </row>
    <row r="29" spans="1:15" x14ac:dyDescent="0.25">
      <c r="A29" s="14" t="s">
        <v>111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4" t="s">
        <v>112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>
        <f>360</f>
        <v>360</v>
      </c>
      <c r="M30" s="16">
        <f t="shared" ref="M30:M50" si="9">(K30)+(L30)</f>
        <v>360</v>
      </c>
      <c r="N30" s="15"/>
      <c r="O30" s="16">
        <f t="shared" ref="O30:O50" si="10">((((((((((B30)+(C30))+(D30))+(E30))+(F30))+(G30))+(H30))+(I30))+(J30))+(M30))+(N30)</f>
        <v>360</v>
      </c>
    </row>
    <row r="31" spans="1:15" x14ac:dyDescent="0.25">
      <c r="A31" s="14" t="s">
        <v>113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>
        <f>115</f>
        <v>115</v>
      </c>
      <c r="M31" s="16">
        <f t="shared" si="9"/>
        <v>115</v>
      </c>
      <c r="N31" s="15"/>
      <c r="O31" s="16">
        <f t="shared" si="10"/>
        <v>115</v>
      </c>
    </row>
    <row r="32" spans="1:15" x14ac:dyDescent="0.25">
      <c r="A32" s="14" t="s">
        <v>114</v>
      </c>
      <c r="B32" s="17">
        <f t="shared" ref="B32:L32" si="11">(B30)+(B31)</f>
        <v>0</v>
      </c>
      <c r="C32" s="17">
        <f t="shared" si="11"/>
        <v>0</v>
      </c>
      <c r="D32" s="17">
        <f t="shared" si="11"/>
        <v>0</v>
      </c>
      <c r="E32" s="17">
        <f t="shared" si="11"/>
        <v>0</v>
      </c>
      <c r="F32" s="17">
        <f t="shared" si="11"/>
        <v>0</v>
      </c>
      <c r="G32" s="17">
        <f t="shared" si="11"/>
        <v>0</v>
      </c>
      <c r="H32" s="17">
        <f t="shared" si="11"/>
        <v>0</v>
      </c>
      <c r="I32" s="17">
        <f t="shared" si="11"/>
        <v>0</v>
      </c>
      <c r="J32" s="17">
        <f t="shared" si="11"/>
        <v>0</v>
      </c>
      <c r="K32" s="17">
        <f t="shared" si="11"/>
        <v>0</v>
      </c>
      <c r="L32" s="17">
        <f t="shared" si="11"/>
        <v>475</v>
      </c>
      <c r="M32" s="17">
        <f t="shared" si="9"/>
        <v>475</v>
      </c>
      <c r="N32" s="17">
        <f>(N30)+(N31)</f>
        <v>0</v>
      </c>
      <c r="O32" s="17">
        <f t="shared" si="10"/>
        <v>475</v>
      </c>
    </row>
    <row r="33" spans="1:15" x14ac:dyDescent="0.25">
      <c r="A33" s="14" t="s">
        <v>115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>
        <f t="shared" si="9"/>
        <v>0</v>
      </c>
      <c r="N33" s="15"/>
      <c r="O33" s="16">
        <f t="shared" si="10"/>
        <v>0</v>
      </c>
    </row>
    <row r="34" spans="1:15" x14ac:dyDescent="0.25">
      <c r="A34" s="14" t="s">
        <v>116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>
        <f>264</f>
        <v>264</v>
      </c>
      <c r="M34" s="16">
        <f t="shared" si="9"/>
        <v>264</v>
      </c>
      <c r="N34" s="15"/>
      <c r="O34" s="16">
        <f t="shared" si="10"/>
        <v>264</v>
      </c>
    </row>
    <row r="35" spans="1:15" x14ac:dyDescent="0.25">
      <c r="A35" s="14" t="s">
        <v>117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>
        <f>2300</f>
        <v>2300</v>
      </c>
      <c r="M35" s="16">
        <f t="shared" si="9"/>
        <v>2300</v>
      </c>
      <c r="N35" s="15"/>
      <c r="O35" s="16">
        <f t="shared" si="10"/>
        <v>2300</v>
      </c>
    </row>
    <row r="36" spans="1:15" x14ac:dyDescent="0.25">
      <c r="A36" s="14" t="s">
        <v>118</v>
      </c>
      <c r="B36" s="17">
        <f t="shared" ref="B36:L36" si="12">((B33)+(B34))+(B35)</f>
        <v>0</v>
      </c>
      <c r="C36" s="17">
        <f t="shared" si="12"/>
        <v>0</v>
      </c>
      <c r="D36" s="17">
        <f t="shared" si="12"/>
        <v>0</v>
      </c>
      <c r="E36" s="17">
        <f t="shared" si="12"/>
        <v>0</v>
      </c>
      <c r="F36" s="17">
        <f t="shared" si="12"/>
        <v>0</v>
      </c>
      <c r="G36" s="17">
        <f t="shared" si="12"/>
        <v>0</v>
      </c>
      <c r="H36" s="17">
        <f t="shared" si="12"/>
        <v>0</v>
      </c>
      <c r="I36" s="17">
        <f t="shared" si="12"/>
        <v>0</v>
      </c>
      <c r="J36" s="17">
        <f t="shared" si="12"/>
        <v>0</v>
      </c>
      <c r="K36" s="17">
        <f t="shared" si="12"/>
        <v>0</v>
      </c>
      <c r="L36" s="17">
        <f t="shared" si="12"/>
        <v>2564</v>
      </c>
      <c r="M36" s="17">
        <f t="shared" si="9"/>
        <v>2564</v>
      </c>
      <c r="N36" s="17">
        <f>((N33)+(N34))+(N35)</f>
        <v>0</v>
      </c>
      <c r="O36" s="17">
        <f t="shared" si="10"/>
        <v>2564</v>
      </c>
    </row>
    <row r="37" spans="1:15" x14ac:dyDescent="0.25">
      <c r="A37" s="14" t="s">
        <v>119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>
        <f t="shared" si="9"/>
        <v>0</v>
      </c>
      <c r="N37" s="15"/>
      <c r="O37" s="16">
        <f t="shared" si="10"/>
        <v>0</v>
      </c>
    </row>
    <row r="38" spans="1:15" x14ac:dyDescent="0.25">
      <c r="A38" s="14" t="s">
        <v>120</v>
      </c>
      <c r="B38" s="15"/>
      <c r="C38" s="15"/>
      <c r="D38" s="15"/>
      <c r="E38" s="15"/>
      <c r="F38" s="16">
        <f>79.68</f>
        <v>79.680000000000007</v>
      </c>
      <c r="G38" s="15"/>
      <c r="H38" s="15"/>
      <c r="I38" s="15"/>
      <c r="J38" s="15"/>
      <c r="K38" s="15"/>
      <c r="L38" s="15"/>
      <c r="M38" s="16">
        <f t="shared" si="9"/>
        <v>0</v>
      </c>
      <c r="N38" s="15"/>
      <c r="O38" s="16">
        <f t="shared" si="10"/>
        <v>79.680000000000007</v>
      </c>
    </row>
    <row r="39" spans="1:15" x14ac:dyDescent="0.25">
      <c r="A39" s="14" t="s">
        <v>121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>
        <f t="shared" si="9"/>
        <v>0</v>
      </c>
      <c r="N39" s="15"/>
      <c r="O39" s="16">
        <f t="shared" si="10"/>
        <v>0</v>
      </c>
    </row>
    <row r="40" spans="1:15" x14ac:dyDescent="0.25">
      <c r="A40" s="14" t="s">
        <v>122</v>
      </c>
      <c r="B40" s="15"/>
      <c r="C40" s="15"/>
      <c r="D40" s="16">
        <f>2100</f>
        <v>2100</v>
      </c>
      <c r="E40" s="15"/>
      <c r="F40" s="15"/>
      <c r="G40" s="15"/>
      <c r="H40" s="15"/>
      <c r="I40" s="15"/>
      <c r="J40" s="15"/>
      <c r="K40" s="15"/>
      <c r="L40" s="15"/>
      <c r="M40" s="16">
        <f t="shared" si="9"/>
        <v>0</v>
      </c>
      <c r="N40" s="15"/>
      <c r="O40" s="16">
        <f t="shared" si="10"/>
        <v>2100</v>
      </c>
    </row>
    <row r="41" spans="1:15" x14ac:dyDescent="0.25">
      <c r="A41" s="14" t="s">
        <v>123</v>
      </c>
      <c r="B41" s="17">
        <f t="shared" ref="B41:L41" si="13">(B39)+(B40)</f>
        <v>0</v>
      </c>
      <c r="C41" s="17">
        <f t="shared" si="13"/>
        <v>0</v>
      </c>
      <c r="D41" s="17">
        <f t="shared" si="13"/>
        <v>2100</v>
      </c>
      <c r="E41" s="17">
        <f t="shared" si="13"/>
        <v>0</v>
      </c>
      <c r="F41" s="17">
        <f t="shared" si="13"/>
        <v>0</v>
      </c>
      <c r="G41" s="17">
        <f t="shared" si="13"/>
        <v>0</v>
      </c>
      <c r="H41" s="17">
        <f t="shared" si="13"/>
        <v>0</v>
      </c>
      <c r="I41" s="17">
        <f t="shared" si="13"/>
        <v>0</v>
      </c>
      <c r="J41" s="17">
        <f t="shared" si="13"/>
        <v>0</v>
      </c>
      <c r="K41" s="17">
        <f t="shared" si="13"/>
        <v>0</v>
      </c>
      <c r="L41" s="17">
        <f t="shared" si="13"/>
        <v>0</v>
      </c>
      <c r="M41" s="17">
        <f t="shared" si="9"/>
        <v>0</v>
      </c>
      <c r="N41" s="17">
        <f>(N39)+(N40)</f>
        <v>0</v>
      </c>
      <c r="O41" s="17">
        <f t="shared" si="10"/>
        <v>2100</v>
      </c>
    </row>
    <row r="42" spans="1:15" x14ac:dyDescent="0.25">
      <c r="A42" s="14" t="s">
        <v>124</v>
      </c>
      <c r="B42" s="16">
        <f>-74.75</f>
        <v>-74.75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>
        <f t="shared" si="9"/>
        <v>0</v>
      </c>
      <c r="N42" s="15"/>
      <c r="O42" s="16">
        <f t="shared" si="10"/>
        <v>-74.75</v>
      </c>
    </row>
    <row r="43" spans="1:15" x14ac:dyDescent="0.25">
      <c r="A43" s="14" t="s">
        <v>125</v>
      </c>
      <c r="B43" s="15"/>
      <c r="C43" s="15"/>
      <c r="D43" s="16">
        <f>1955.82</f>
        <v>1955.82</v>
      </c>
      <c r="E43" s="15"/>
      <c r="F43" s="15"/>
      <c r="G43" s="15"/>
      <c r="H43" s="15"/>
      <c r="I43" s="15"/>
      <c r="J43" s="15"/>
      <c r="K43" s="15"/>
      <c r="L43" s="15"/>
      <c r="M43" s="16">
        <f t="shared" si="9"/>
        <v>0</v>
      </c>
      <c r="N43" s="16">
        <f>75.74</f>
        <v>75.739999999999995</v>
      </c>
      <c r="O43" s="16">
        <f t="shared" si="10"/>
        <v>2031.56</v>
      </c>
    </row>
    <row r="44" spans="1:15" x14ac:dyDescent="0.25">
      <c r="A44" s="14" t="s">
        <v>126</v>
      </c>
      <c r="B44" s="15"/>
      <c r="C44" s="15"/>
      <c r="D44" s="15"/>
      <c r="E44" s="15"/>
      <c r="F44" s="16">
        <f>250</f>
        <v>250</v>
      </c>
      <c r="G44" s="15"/>
      <c r="H44" s="15"/>
      <c r="I44" s="15"/>
      <c r="J44" s="15"/>
      <c r="K44" s="15"/>
      <c r="L44" s="15"/>
      <c r="M44" s="16">
        <f t="shared" si="9"/>
        <v>0</v>
      </c>
      <c r="N44" s="15"/>
      <c r="O44" s="16">
        <f t="shared" si="10"/>
        <v>250</v>
      </c>
    </row>
    <row r="45" spans="1:15" x14ac:dyDescent="0.25">
      <c r="A45" s="14" t="s">
        <v>127</v>
      </c>
      <c r="B45" s="17">
        <f t="shared" ref="B45:L45" si="14">(((((B37)+(B38))+(B41))+(B42))+(B43))+(B44)</f>
        <v>-74.75</v>
      </c>
      <c r="C45" s="17">
        <f t="shared" si="14"/>
        <v>0</v>
      </c>
      <c r="D45" s="17">
        <f t="shared" si="14"/>
        <v>4055.8199999999997</v>
      </c>
      <c r="E45" s="17">
        <f t="shared" si="14"/>
        <v>0</v>
      </c>
      <c r="F45" s="17">
        <f t="shared" si="14"/>
        <v>329.68</v>
      </c>
      <c r="G45" s="17">
        <f t="shared" si="14"/>
        <v>0</v>
      </c>
      <c r="H45" s="17">
        <f t="shared" si="14"/>
        <v>0</v>
      </c>
      <c r="I45" s="17">
        <f t="shared" si="14"/>
        <v>0</v>
      </c>
      <c r="J45" s="17">
        <f t="shared" si="14"/>
        <v>0</v>
      </c>
      <c r="K45" s="17">
        <f t="shared" si="14"/>
        <v>0</v>
      </c>
      <c r="L45" s="17">
        <f t="shared" si="14"/>
        <v>0</v>
      </c>
      <c r="M45" s="17">
        <f t="shared" si="9"/>
        <v>0</v>
      </c>
      <c r="N45" s="17">
        <f>(((((N37)+(N38))+(N41))+(N42))+(N43))+(N44)</f>
        <v>75.739999999999995</v>
      </c>
      <c r="O45" s="17">
        <f t="shared" si="10"/>
        <v>4386.49</v>
      </c>
    </row>
    <row r="46" spans="1:15" x14ac:dyDescent="0.25">
      <c r="A46" s="14" t="s">
        <v>128</v>
      </c>
      <c r="B46" s="15"/>
      <c r="C46" s="15"/>
      <c r="D46" s="16">
        <f>10608</f>
        <v>10608</v>
      </c>
      <c r="E46" s="15"/>
      <c r="F46" s="15"/>
      <c r="G46" s="15"/>
      <c r="H46" s="16">
        <f>111.44</f>
        <v>111.44</v>
      </c>
      <c r="I46" s="15"/>
      <c r="J46" s="15"/>
      <c r="K46" s="15"/>
      <c r="L46" s="15"/>
      <c r="M46" s="16">
        <f t="shared" si="9"/>
        <v>0</v>
      </c>
      <c r="N46" s="15"/>
      <c r="O46" s="16">
        <f t="shared" si="10"/>
        <v>10719.44</v>
      </c>
    </row>
    <row r="47" spans="1:15" x14ac:dyDescent="0.25">
      <c r="A47" s="14" t="s">
        <v>129</v>
      </c>
      <c r="B47" s="15"/>
      <c r="C47" s="15"/>
      <c r="D47" s="15"/>
      <c r="E47" s="15"/>
      <c r="F47" s="15"/>
      <c r="G47" s="16">
        <f>10643.56</f>
        <v>10643.56</v>
      </c>
      <c r="H47" s="15"/>
      <c r="I47" s="15"/>
      <c r="J47" s="15"/>
      <c r="K47" s="15"/>
      <c r="L47" s="15"/>
      <c r="M47" s="16">
        <f t="shared" si="9"/>
        <v>0</v>
      </c>
      <c r="N47" s="15"/>
      <c r="O47" s="16">
        <f t="shared" si="10"/>
        <v>10643.56</v>
      </c>
    </row>
    <row r="48" spans="1:15" x14ac:dyDescent="0.25">
      <c r="A48" s="14" t="s">
        <v>130</v>
      </c>
      <c r="B48" s="17">
        <f t="shared" ref="B48:L48" si="15">(B46)+(B47)</f>
        <v>0</v>
      </c>
      <c r="C48" s="17">
        <f t="shared" si="15"/>
        <v>0</v>
      </c>
      <c r="D48" s="17">
        <f t="shared" si="15"/>
        <v>10608</v>
      </c>
      <c r="E48" s="17">
        <f t="shared" si="15"/>
        <v>0</v>
      </c>
      <c r="F48" s="17">
        <f t="shared" si="15"/>
        <v>0</v>
      </c>
      <c r="G48" s="17">
        <f t="shared" si="15"/>
        <v>10643.56</v>
      </c>
      <c r="H48" s="17">
        <f t="shared" si="15"/>
        <v>111.44</v>
      </c>
      <c r="I48" s="17">
        <f t="shared" si="15"/>
        <v>0</v>
      </c>
      <c r="J48" s="17">
        <f t="shared" si="15"/>
        <v>0</v>
      </c>
      <c r="K48" s="17">
        <f t="shared" si="15"/>
        <v>0</v>
      </c>
      <c r="L48" s="17">
        <f t="shared" si="15"/>
        <v>0</v>
      </c>
      <c r="M48" s="17">
        <f t="shared" si="9"/>
        <v>0</v>
      </c>
      <c r="N48" s="17">
        <f>(N46)+(N47)</f>
        <v>0</v>
      </c>
      <c r="O48" s="17">
        <f t="shared" si="10"/>
        <v>21362.999999999996</v>
      </c>
    </row>
    <row r="49" spans="1:15" x14ac:dyDescent="0.25">
      <c r="A49" s="14" t="s">
        <v>131</v>
      </c>
      <c r="B49" s="17">
        <f t="shared" ref="B49:L49" si="16">(((B32)+(B36))+(B45))+(B48)</f>
        <v>-74.75</v>
      </c>
      <c r="C49" s="17">
        <f t="shared" si="16"/>
        <v>0</v>
      </c>
      <c r="D49" s="17">
        <f t="shared" si="16"/>
        <v>14663.82</v>
      </c>
      <c r="E49" s="17">
        <f t="shared" si="16"/>
        <v>0</v>
      </c>
      <c r="F49" s="17">
        <f t="shared" si="16"/>
        <v>329.68</v>
      </c>
      <c r="G49" s="17">
        <f t="shared" si="16"/>
        <v>10643.56</v>
      </c>
      <c r="H49" s="17">
        <f t="shared" si="16"/>
        <v>111.44</v>
      </c>
      <c r="I49" s="17">
        <f t="shared" si="16"/>
        <v>0</v>
      </c>
      <c r="J49" s="17">
        <f t="shared" si="16"/>
        <v>0</v>
      </c>
      <c r="K49" s="17">
        <f t="shared" si="16"/>
        <v>0</v>
      </c>
      <c r="L49" s="17">
        <f t="shared" si="16"/>
        <v>3039</v>
      </c>
      <c r="M49" s="17">
        <f t="shared" si="9"/>
        <v>3039</v>
      </c>
      <c r="N49" s="17">
        <f>(((N32)+(N36))+(N45))+(N48)</f>
        <v>75.739999999999995</v>
      </c>
      <c r="O49" s="17">
        <f t="shared" si="10"/>
        <v>28788.489999999998</v>
      </c>
    </row>
    <row r="50" spans="1:15" x14ac:dyDescent="0.25">
      <c r="A50" s="14" t="s">
        <v>132</v>
      </c>
      <c r="B50" s="17">
        <f t="shared" ref="B50:L50" si="17">(B28)-(B49)</f>
        <v>574.75</v>
      </c>
      <c r="C50" s="17">
        <f t="shared" si="17"/>
        <v>2938</v>
      </c>
      <c r="D50" s="17">
        <f t="shared" si="17"/>
        <v>3054.1800000000003</v>
      </c>
      <c r="E50" s="17">
        <f t="shared" si="17"/>
        <v>250</v>
      </c>
      <c r="F50" s="17">
        <f t="shared" si="17"/>
        <v>-329.68</v>
      </c>
      <c r="G50" s="17">
        <f t="shared" si="17"/>
        <v>15784.49</v>
      </c>
      <c r="H50" s="17">
        <f t="shared" si="17"/>
        <v>-111.44</v>
      </c>
      <c r="I50" s="17">
        <f t="shared" si="17"/>
        <v>1350</v>
      </c>
      <c r="J50" s="17">
        <f t="shared" si="17"/>
        <v>210</v>
      </c>
      <c r="K50" s="17">
        <f t="shared" si="17"/>
        <v>0</v>
      </c>
      <c r="L50" s="17">
        <f t="shared" si="17"/>
        <v>18855.989999999998</v>
      </c>
      <c r="M50" s="17">
        <f t="shared" si="9"/>
        <v>18855.989999999998</v>
      </c>
      <c r="N50" s="17">
        <f>(N28)-(N49)</f>
        <v>9516.51</v>
      </c>
      <c r="O50" s="17">
        <f t="shared" si="10"/>
        <v>52092.799999999996</v>
      </c>
    </row>
    <row r="51" spans="1:15" x14ac:dyDescent="0.25">
      <c r="A51" s="14" t="s">
        <v>133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4" t="s">
        <v>134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>
        <f>1.18</f>
        <v>1.18</v>
      </c>
      <c r="M52" s="16">
        <f>(K52)+(L52)</f>
        <v>1.18</v>
      </c>
      <c r="N52" s="15"/>
      <c r="O52" s="16">
        <f>((((((((((B52)+(C52))+(D52))+(E52))+(F52))+(G52))+(H52))+(I52))+(J52))+(M52))+(N52)</f>
        <v>1.18</v>
      </c>
    </row>
    <row r="53" spans="1:15" x14ac:dyDescent="0.25">
      <c r="A53" s="14" t="s">
        <v>135</v>
      </c>
      <c r="B53" s="17">
        <f t="shared" ref="B53:L53" si="18">B52</f>
        <v>0</v>
      </c>
      <c r="C53" s="17">
        <f t="shared" si="18"/>
        <v>0</v>
      </c>
      <c r="D53" s="17">
        <f t="shared" si="18"/>
        <v>0</v>
      </c>
      <c r="E53" s="17">
        <f t="shared" si="18"/>
        <v>0</v>
      </c>
      <c r="F53" s="17">
        <f t="shared" si="18"/>
        <v>0</v>
      </c>
      <c r="G53" s="17">
        <f t="shared" si="18"/>
        <v>0</v>
      </c>
      <c r="H53" s="17">
        <f t="shared" si="18"/>
        <v>0</v>
      </c>
      <c r="I53" s="17">
        <f t="shared" si="18"/>
        <v>0</v>
      </c>
      <c r="J53" s="17">
        <f t="shared" si="18"/>
        <v>0</v>
      </c>
      <c r="K53" s="17">
        <f t="shared" si="18"/>
        <v>0</v>
      </c>
      <c r="L53" s="17">
        <f t="shared" si="18"/>
        <v>1.18</v>
      </c>
      <c r="M53" s="17">
        <f>(K53)+(L53)</f>
        <v>1.18</v>
      </c>
      <c r="N53" s="17">
        <f>N52</f>
        <v>0</v>
      </c>
      <c r="O53" s="17">
        <f>((((((((((B53)+(C53))+(D53))+(E53))+(F53))+(G53))+(H53))+(I53))+(J53))+(M53))+(N53)</f>
        <v>1.18</v>
      </c>
    </row>
    <row r="54" spans="1:15" x14ac:dyDescent="0.25">
      <c r="A54" s="14" t="s">
        <v>136</v>
      </c>
      <c r="B54" s="17">
        <f t="shared" ref="B54:L54" si="19">(B53)-(0)</f>
        <v>0</v>
      </c>
      <c r="C54" s="17">
        <f t="shared" si="19"/>
        <v>0</v>
      </c>
      <c r="D54" s="17">
        <f t="shared" si="19"/>
        <v>0</v>
      </c>
      <c r="E54" s="17">
        <f t="shared" si="19"/>
        <v>0</v>
      </c>
      <c r="F54" s="17">
        <f t="shared" si="19"/>
        <v>0</v>
      </c>
      <c r="G54" s="17">
        <f t="shared" si="19"/>
        <v>0</v>
      </c>
      <c r="H54" s="17">
        <f t="shared" si="19"/>
        <v>0</v>
      </c>
      <c r="I54" s="17">
        <f t="shared" si="19"/>
        <v>0</v>
      </c>
      <c r="J54" s="17">
        <f t="shared" si="19"/>
        <v>0</v>
      </c>
      <c r="K54" s="17">
        <f t="shared" si="19"/>
        <v>0</v>
      </c>
      <c r="L54" s="17">
        <f t="shared" si="19"/>
        <v>1.18</v>
      </c>
      <c r="M54" s="17">
        <f>(K54)+(L54)</f>
        <v>1.18</v>
      </c>
      <c r="N54" s="17">
        <f>(N53)-(0)</f>
        <v>0</v>
      </c>
      <c r="O54" s="17">
        <f>((((((((((B54)+(C54))+(D54))+(E54))+(F54))+(G54))+(H54))+(I54))+(J54))+(M54))+(N54)</f>
        <v>1.18</v>
      </c>
    </row>
    <row r="55" spans="1:15" ht="16.5" thickBot="1" x14ac:dyDescent="0.3">
      <c r="A55" s="14" t="s">
        <v>137</v>
      </c>
      <c r="B55" s="17">
        <f t="shared" ref="B55:L55" si="20">(B50)+(B54)</f>
        <v>574.75</v>
      </c>
      <c r="C55" s="17">
        <f t="shared" si="20"/>
        <v>2938</v>
      </c>
      <c r="D55" s="17">
        <f t="shared" si="20"/>
        <v>3054.1800000000003</v>
      </c>
      <c r="E55" s="17">
        <f t="shared" si="20"/>
        <v>250</v>
      </c>
      <c r="F55" s="17">
        <f t="shared" si="20"/>
        <v>-329.68</v>
      </c>
      <c r="G55" s="17">
        <f t="shared" si="20"/>
        <v>15784.49</v>
      </c>
      <c r="H55" s="17">
        <f t="shared" si="20"/>
        <v>-111.44</v>
      </c>
      <c r="I55" s="17">
        <f t="shared" si="20"/>
        <v>1350</v>
      </c>
      <c r="J55" s="17">
        <f t="shared" si="20"/>
        <v>210</v>
      </c>
      <c r="K55" s="17">
        <f t="shared" si="20"/>
        <v>0</v>
      </c>
      <c r="L55" s="17">
        <f t="shared" si="20"/>
        <v>18857.169999999998</v>
      </c>
      <c r="M55" s="17">
        <f>(K55)+(L55)</f>
        <v>18857.169999999998</v>
      </c>
      <c r="N55" s="17">
        <f>(N50)+(N54)</f>
        <v>9516.51</v>
      </c>
      <c r="O55" s="17">
        <f>((((((((((B55)+(C55))+(D55))+(E55))+(F55))+(G55))+(H55))+(I55))+(J55))+(M55))+(N55)</f>
        <v>52093.98</v>
      </c>
    </row>
    <row r="56" spans="1:15" s="21" customFormat="1" ht="12" thickBot="1" x14ac:dyDescent="0.25">
      <c r="A56" s="18" t="s">
        <v>138</v>
      </c>
      <c r="B56" s="20">
        <v>27293.93</v>
      </c>
      <c r="C56" s="20">
        <v>7522.15</v>
      </c>
      <c r="D56" s="20">
        <v>4543.99</v>
      </c>
      <c r="E56" s="20">
        <v>0</v>
      </c>
      <c r="F56" s="20">
        <v>2031.78</v>
      </c>
      <c r="G56" s="20">
        <v>7343.75</v>
      </c>
      <c r="H56" s="20">
        <v>16676.740000000002</v>
      </c>
      <c r="I56" s="20">
        <v>8928.4599999999991</v>
      </c>
      <c r="J56" s="20">
        <v>88.86</v>
      </c>
      <c r="K56" s="20"/>
      <c r="L56" s="20"/>
      <c r="M56" s="20"/>
      <c r="N56" s="20">
        <v>480.11</v>
      </c>
      <c r="O56" s="20"/>
    </row>
    <row r="57" spans="1:15" s="21" customFormat="1" ht="12" thickBot="1" x14ac:dyDescent="0.25">
      <c r="A57" s="19" t="s">
        <v>139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  <c r="O57" s="22"/>
    </row>
    <row r="58" spans="1:15" s="21" customFormat="1" ht="12" thickBot="1" x14ac:dyDescent="0.25">
      <c r="A58" s="19" t="s">
        <v>140</v>
      </c>
      <c r="B58" s="22">
        <f>B55+B57</f>
        <v>574.75</v>
      </c>
      <c r="C58" s="22">
        <f t="shared" ref="C58:N58" si="21">C55+C57</f>
        <v>2938</v>
      </c>
      <c r="D58" s="22">
        <f t="shared" si="21"/>
        <v>3054.1800000000003</v>
      </c>
      <c r="E58" s="22">
        <f t="shared" si="21"/>
        <v>250</v>
      </c>
      <c r="F58" s="22">
        <f t="shared" si="21"/>
        <v>-329.68</v>
      </c>
      <c r="G58" s="22">
        <f t="shared" si="21"/>
        <v>15784.49</v>
      </c>
      <c r="H58" s="22">
        <f t="shared" si="21"/>
        <v>-111.44</v>
      </c>
      <c r="I58" s="22">
        <f t="shared" si="21"/>
        <v>1350</v>
      </c>
      <c r="J58" s="22">
        <f t="shared" si="21"/>
        <v>210</v>
      </c>
      <c r="K58" s="22"/>
      <c r="L58" s="22"/>
      <c r="M58" s="22"/>
      <c r="N58" s="22">
        <f t="shared" si="21"/>
        <v>9516.51</v>
      </c>
      <c r="O58" s="22"/>
    </row>
    <row r="59" spans="1:15" s="21" customFormat="1" ht="12" thickBot="1" x14ac:dyDescent="0.25">
      <c r="A59" s="19" t="s">
        <v>141</v>
      </c>
      <c r="B59" s="22">
        <f>B56+B58</f>
        <v>27868.68</v>
      </c>
      <c r="C59" s="22">
        <f t="shared" ref="C59:N59" si="22">C56+C58</f>
        <v>10460.15</v>
      </c>
      <c r="D59" s="22">
        <f t="shared" si="22"/>
        <v>7598.17</v>
      </c>
      <c r="E59" s="22">
        <f t="shared" si="22"/>
        <v>250</v>
      </c>
      <c r="F59" s="22">
        <f t="shared" si="22"/>
        <v>1702.1</v>
      </c>
      <c r="G59" s="22">
        <f t="shared" si="22"/>
        <v>23128.239999999998</v>
      </c>
      <c r="H59" s="22">
        <f t="shared" si="22"/>
        <v>16565.300000000003</v>
      </c>
      <c r="I59" s="22">
        <f t="shared" si="22"/>
        <v>10278.459999999999</v>
      </c>
      <c r="J59" s="22">
        <f t="shared" si="22"/>
        <v>298.86</v>
      </c>
      <c r="K59" s="22"/>
      <c r="L59" s="22"/>
      <c r="M59" s="22"/>
      <c r="N59" s="22">
        <f t="shared" si="22"/>
        <v>9996.6200000000008</v>
      </c>
      <c r="O59" s="22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Position</vt:lpstr>
      <vt:lpstr>Statement of Activity FY</vt:lpstr>
      <vt:lpstr>Stmt of Activity - July</vt:lpstr>
      <vt:lpstr>Stmt of Activity by Sport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Marconi Avenue Chiro</cp:lastModifiedBy>
  <dcterms:created xsi:type="dcterms:W3CDTF">2022-03-24T08:55:57Z</dcterms:created>
  <dcterms:modified xsi:type="dcterms:W3CDTF">2025-08-14T15:08:10Z</dcterms:modified>
  <cp:category/>
</cp:coreProperties>
</file>