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arrie\Documents\RAAB\Finance\"/>
    </mc:Choice>
  </mc:AlternateContent>
  <xr:revisionPtr revIDLastSave="0" documentId="8_{43BB8E4A-727F-4691-840D-360623B89A46}" xr6:coauthVersionLast="47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Financial Position" sheetId="4" r:id="rId1"/>
    <sheet name="Statement of Activity" sheetId="1" r:id="rId2"/>
    <sheet name="April Stmt of Activity" sheetId="2" r:id="rId3"/>
    <sheet name="April Stmt of Activity by Sport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64" i="3" l="1"/>
  <c r="Y64" i="3"/>
  <c r="X64" i="3"/>
  <c r="S64" i="3"/>
  <c r="S65" i="3" s="1"/>
  <c r="S66" i="3" s="1"/>
  <c r="R64" i="3"/>
  <c r="R65" i="3" s="1"/>
  <c r="R66" i="3" s="1"/>
  <c r="Q64" i="3"/>
  <c r="P64" i="3"/>
  <c r="O64" i="3"/>
  <c r="N64" i="3"/>
  <c r="N65" i="3"/>
  <c r="N66" i="3" s="1"/>
  <c r="M64" i="3"/>
  <c r="L64" i="3"/>
  <c r="K64" i="3"/>
  <c r="J64" i="3"/>
  <c r="H64" i="3"/>
  <c r="F64" i="3"/>
  <c r="C65" i="3"/>
  <c r="D65" i="3"/>
  <c r="E65" i="3"/>
  <c r="F65" i="3"/>
  <c r="F66" i="3" s="1"/>
  <c r="G65" i="3"/>
  <c r="G66" i="3" s="1"/>
  <c r="H65" i="3"/>
  <c r="H66" i="3" s="1"/>
  <c r="I65" i="3"/>
  <c r="I66" i="3" s="1"/>
  <c r="J65" i="3"/>
  <c r="J66" i="3" s="1"/>
  <c r="K65" i="3"/>
  <c r="K66" i="3" s="1"/>
  <c r="L65" i="3"/>
  <c r="L66" i="3" s="1"/>
  <c r="M65" i="3"/>
  <c r="M66" i="3" s="1"/>
  <c r="O65" i="3"/>
  <c r="P65" i="3"/>
  <c r="P66" i="3" s="1"/>
  <c r="Q65" i="3"/>
  <c r="W65" i="3"/>
  <c r="W66" i="3" s="1"/>
  <c r="X65" i="3"/>
  <c r="X66" i="3" s="1"/>
  <c r="Y65" i="3"/>
  <c r="Y66" i="3" s="1"/>
  <c r="Z65" i="3"/>
  <c r="Z66" i="3" s="1"/>
  <c r="C66" i="3"/>
  <c r="D66" i="3"/>
  <c r="E66" i="3"/>
  <c r="O66" i="3"/>
  <c r="Q66" i="3"/>
  <c r="B66" i="3"/>
  <c r="B65" i="3"/>
  <c r="B64" i="3"/>
  <c r="U61" i="3"/>
  <c r="T61" i="3"/>
  <c r="V61" i="3" s="1"/>
  <c r="J61" i="3"/>
  <c r="I61" i="3"/>
  <c r="W60" i="3"/>
  <c r="W61" i="3" s="1"/>
  <c r="K60" i="3"/>
  <c r="K61" i="3" s="1"/>
  <c r="J60" i="3"/>
  <c r="AA59" i="3"/>
  <c r="AA60" i="3" s="1"/>
  <c r="AA61" i="3" s="1"/>
  <c r="Z59" i="3"/>
  <c r="Z60" i="3" s="1"/>
  <c r="Z61" i="3" s="1"/>
  <c r="Y59" i="3"/>
  <c r="Y60" i="3" s="1"/>
  <c r="Y61" i="3" s="1"/>
  <c r="X59" i="3"/>
  <c r="X60" i="3" s="1"/>
  <c r="X61" i="3" s="1"/>
  <c r="W59" i="3"/>
  <c r="U59" i="3"/>
  <c r="T59" i="3"/>
  <c r="T60" i="3" s="1"/>
  <c r="S59" i="3"/>
  <c r="S60" i="3" s="1"/>
  <c r="S61" i="3" s="1"/>
  <c r="R59" i="3"/>
  <c r="R60" i="3" s="1"/>
  <c r="R61" i="3" s="1"/>
  <c r="Q59" i="3"/>
  <c r="Q60" i="3" s="1"/>
  <c r="Q61" i="3" s="1"/>
  <c r="P59" i="3"/>
  <c r="P60" i="3" s="1"/>
  <c r="P61" i="3" s="1"/>
  <c r="O59" i="3"/>
  <c r="O60" i="3" s="1"/>
  <c r="O61" i="3" s="1"/>
  <c r="N59" i="3"/>
  <c r="N60" i="3" s="1"/>
  <c r="N61" i="3" s="1"/>
  <c r="M59" i="3"/>
  <c r="M60" i="3" s="1"/>
  <c r="M61" i="3" s="1"/>
  <c r="L59" i="3"/>
  <c r="L60" i="3" s="1"/>
  <c r="L61" i="3" s="1"/>
  <c r="K59" i="3"/>
  <c r="J59" i="3"/>
  <c r="I59" i="3"/>
  <c r="I60" i="3" s="1"/>
  <c r="H59" i="3"/>
  <c r="H60" i="3" s="1"/>
  <c r="H61" i="3" s="1"/>
  <c r="G59" i="3"/>
  <c r="G60" i="3" s="1"/>
  <c r="G61" i="3" s="1"/>
  <c r="F59" i="3"/>
  <c r="F60" i="3" s="1"/>
  <c r="F61" i="3" s="1"/>
  <c r="E59" i="3"/>
  <c r="E60" i="3" s="1"/>
  <c r="E61" i="3" s="1"/>
  <c r="D59" i="3"/>
  <c r="D60" i="3" s="1"/>
  <c r="D61" i="3" s="1"/>
  <c r="C59" i="3"/>
  <c r="C60" i="3" s="1"/>
  <c r="C61" i="3" s="1"/>
  <c r="B59" i="3"/>
  <c r="B60" i="3" s="1"/>
  <c r="V58" i="3"/>
  <c r="AB58" i="3" s="1"/>
  <c r="Q58" i="3"/>
  <c r="B58" i="3"/>
  <c r="V57" i="3"/>
  <c r="AB57" i="3" s="1"/>
  <c r="U56" i="3"/>
  <c r="U60" i="3" s="1"/>
  <c r="L52" i="3"/>
  <c r="K52" i="3"/>
  <c r="J52" i="3"/>
  <c r="I52" i="3"/>
  <c r="V51" i="3"/>
  <c r="S51" i="3"/>
  <c r="P51" i="3"/>
  <c r="AB51" i="3" s="1"/>
  <c r="AA50" i="3"/>
  <c r="AA52" i="3" s="1"/>
  <c r="Z50" i="3"/>
  <c r="Y50" i="3"/>
  <c r="X50" i="3"/>
  <c r="W50" i="3"/>
  <c r="W52" i="3" s="1"/>
  <c r="U50" i="3"/>
  <c r="T50" i="3"/>
  <c r="V50" i="3" s="1"/>
  <c r="S50" i="3"/>
  <c r="R50" i="3"/>
  <c r="Q50" i="3"/>
  <c r="O50" i="3"/>
  <c r="M50" i="3"/>
  <c r="L50" i="3"/>
  <c r="K50" i="3"/>
  <c r="J50" i="3"/>
  <c r="I50" i="3"/>
  <c r="H50" i="3"/>
  <c r="G50" i="3"/>
  <c r="F50" i="3"/>
  <c r="E50" i="3"/>
  <c r="D50" i="3"/>
  <c r="C50" i="3"/>
  <c r="B50" i="3"/>
  <c r="V49" i="3"/>
  <c r="N49" i="3"/>
  <c r="AB49" i="3" s="1"/>
  <c r="V48" i="3"/>
  <c r="P48" i="3"/>
  <c r="AB48" i="3" s="1"/>
  <c r="V47" i="3"/>
  <c r="S47" i="3"/>
  <c r="AB47" i="3" s="1"/>
  <c r="V46" i="3"/>
  <c r="AB46" i="3" s="1"/>
  <c r="Q46" i="3"/>
  <c r="V45" i="3"/>
  <c r="Q45" i="3"/>
  <c r="E45" i="3"/>
  <c r="Z44" i="3"/>
  <c r="Y44" i="3"/>
  <c r="X44" i="3"/>
  <c r="X52" i="3" s="1"/>
  <c r="V44" i="3"/>
  <c r="S44" i="3"/>
  <c r="R44" i="3"/>
  <c r="Q44" i="3"/>
  <c r="P44" i="3"/>
  <c r="O44" i="3"/>
  <c r="N44" i="3"/>
  <c r="M44" i="3"/>
  <c r="M52" i="3" s="1"/>
  <c r="L44" i="3"/>
  <c r="K44" i="3"/>
  <c r="J44" i="3"/>
  <c r="H44" i="3"/>
  <c r="H52" i="3" s="1"/>
  <c r="F44" i="3"/>
  <c r="B44" i="3"/>
  <c r="U43" i="3"/>
  <c r="V43" i="3" s="1"/>
  <c r="AB43" i="3" s="1"/>
  <c r="Q43" i="3"/>
  <c r="P43" i="3"/>
  <c r="O43" i="3"/>
  <c r="L43" i="3"/>
  <c r="B43" i="3"/>
  <c r="V42" i="3"/>
  <c r="G42" i="3"/>
  <c r="E42" i="3"/>
  <c r="C42" i="3"/>
  <c r="B42" i="3"/>
  <c r="B52" i="3" s="1"/>
  <c r="V41" i="3"/>
  <c r="D41" i="3"/>
  <c r="AB41" i="3" s="1"/>
  <c r="U40" i="3"/>
  <c r="V40" i="3" s="1"/>
  <c r="AB40" i="3" s="1"/>
  <c r="V39" i="3"/>
  <c r="N39" i="3"/>
  <c r="AB38" i="3"/>
  <c r="V38" i="3"/>
  <c r="Z37" i="3"/>
  <c r="Y37" i="3"/>
  <c r="X37" i="3"/>
  <c r="W37" i="3"/>
  <c r="T37" i="3"/>
  <c r="V37" i="3" s="1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D37" i="3"/>
  <c r="C37" i="3"/>
  <c r="U36" i="3"/>
  <c r="V36" i="3" s="1"/>
  <c r="AB36" i="3" s="1"/>
  <c r="AA35" i="3"/>
  <c r="AA37" i="3" s="1"/>
  <c r="U35" i="3"/>
  <c r="U37" i="3" s="1"/>
  <c r="V34" i="3"/>
  <c r="E34" i="3"/>
  <c r="E37" i="3" s="1"/>
  <c r="V33" i="3"/>
  <c r="B33" i="3"/>
  <c r="AB33" i="3" s="1"/>
  <c r="AA32" i="3"/>
  <c r="Z32" i="3"/>
  <c r="Y32" i="3"/>
  <c r="X32" i="3"/>
  <c r="W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U31" i="3"/>
  <c r="U30" i="3"/>
  <c r="V30" i="3" s="1"/>
  <c r="AB30" i="3" s="1"/>
  <c r="AB29" i="3"/>
  <c r="V29" i="3"/>
  <c r="Z26" i="3"/>
  <c r="Z27" i="3" s="1"/>
  <c r="B26" i="3"/>
  <c r="V25" i="3"/>
  <c r="AB25" i="3" s="1"/>
  <c r="U25" i="3"/>
  <c r="AA23" i="3"/>
  <c r="Z23" i="3"/>
  <c r="Y23" i="3"/>
  <c r="X23" i="3"/>
  <c r="U23" i="3"/>
  <c r="T23" i="3"/>
  <c r="S23" i="3"/>
  <c r="R23" i="3"/>
  <c r="Q23" i="3"/>
  <c r="O23" i="3"/>
  <c r="N23" i="3"/>
  <c r="M23" i="3"/>
  <c r="M24" i="3" s="1"/>
  <c r="M26" i="3" s="1"/>
  <c r="M27" i="3" s="1"/>
  <c r="L23" i="3"/>
  <c r="K23" i="3"/>
  <c r="J23" i="3"/>
  <c r="I23" i="3"/>
  <c r="H23" i="3"/>
  <c r="G23" i="3"/>
  <c r="F23" i="3"/>
  <c r="E23" i="3"/>
  <c r="D23" i="3"/>
  <c r="C23" i="3"/>
  <c r="B23" i="3"/>
  <c r="W22" i="3"/>
  <c r="W23" i="3" s="1"/>
  <c r="W24" i="3" s="1"/>
  <c r="W26" i="3" s="1"/>
  <c r="W27" i="3" s="1"/>
  <c r="V22" i="3"/>
  <c r="V21" i="3"/>
  <c r="P21" i="3"/>
  <c r="P23" i="3" s="1"/>
  <c r="U20" i="3"/>
  <c r="V20" i="3" s="1"/>
  <c r="AB20" i="3" s="1"/>
  <c r="U19" i="3"/>
  <c r="V19" i="3" s="1"/>
  <c r="R19" i="3"/>
  <c r="L19" i="3"/>
  <c r="J19" i="3"/>
  <c r="I19" i="3"/>
  <c r="D19" i="3"/>
  <c r="AA18" i="3"/>
  <c r="Z18" i="3"/>
  <c r="Z24" i="3" s="1"/>
  <c r="X18" i="3"/>
  <c r="X24" i="3" s="1"/>
  <c r="W18" i="3"/>
  <c r="U18" i="3"/>
  <c r="T18" i="3"/>
  <c r="V18" i="3" s="1"/>
  <c r="S18" i="3"/>
  <c r="S24" i="3" s="1"/>
  <c r="R18" i="3"/>
  <c r="Q18" i="3"/>
  <c r="Q24" i="3" s="1"/>
  <c r="P18" i="3"/>
  <c r="O18" i="3"/>
  <c r="N18" i="3"/>
  <c r="N24" i="3" s="1"/>
  <c r="M18" i="3"/>
  <c r="L18" i="3"/>
  <c r="K18" i="3"/>
  <c r="J18" i="3"/>
  <c r="I18" i="3"/>
  <c r="H18" i="3"/>
  <c r="G18" i="3"/>
  <c r="G24" i="3" s="1"/>
  <c r="F18" i="3"/>
  <c r="F24" i="3" s="1"/>
  <c r="E18" i="3"/>
  <c r="C18" i="3"/>
  <c r="C24" i="3" s="1"/>
  <c r="B18" i="3"/>
  <c r="B24" i="3" s="1"/>
  <c r="Y17" i="3"/>
  <c r="Y18" i="3" s="1"/>
  <c r="V17" i="3"/>
  <c r="V16" i="3"/>
  <c r="D16" i="3"/>
  <c r="V15" i="3"/>
  <c r="AB15" i="3" s="1"/>
  <c r="U14" i="3"/>
  <c r="AA13" i="3"/>
  <c r="V13" i="3"/>
  <c r="AB13" i="3" s="1"/>
  <c r="V12" i="3"/>
  <c r="L12" i="3"/>
  <c r="V11" i="3"/>
  <c r="O11" i="3"/>
  <c r="O24" i="3" s="1"/>
  <c r="L11" i="3"/>
  <c r="AA10" i="3"/>
  <c r="Z10" i="3"/>
  <c r="Y10" i="3"/>
  <c r="X10" i="3"/>
  <c r="W10" i="3"/>
  <c r="U10" i="3"/>
  <c r="T10" i="3"/>
  <c r="S10" i="3"/>
  <c r="R10" i="3"/>
  <c r="M10" i="3"/>
  <c r="L10" i="3"/>
  <c r="K10" i="3"/>
  <c r="J10" i="3"/>
  <c r="I10" i="3"/>
  <c r="H10" i="3"/>
  <c r="G10" i="3"/>
  <c r="F10" i="3"/>
  <c r="E10" i="3"/>
  <c r="D10" i="3"/>
  <c r="C10" i="3"/>
  <c r="B10" i="3"/>
  <c r="AA9" i="3"/>
  <c r="U9" i="3"/>
  <c r="V9" i="3" s="1"/>
  <c r="AB9" i="3" s="1"/>
  <c r="V8" i="3"/>
  <c r="Q8" i="3"/>
  <c r="Q10" i="3" s="1"/>
  <c r="Q26" i="3" s="1"/>
  <c r="Q27" i="3" s="1"/>
  <c r="P8" i="3"/>
  <c r="P10" i="3" s="1"/>
  <c r="O8" i="3"/>
  <c r="O10" i="3" s="1"/>
  <c r="N8" i="3"/>
  <c r="V7" i="3"/>
  <c r="AB7" i="3" s="1"/>
  <c r="B58" i="2"/>
  <c r="B59" i="2" s="1"/>
  <c r="B56" i="2"/>
  <c r="B60" i="2" s="1"/>
  <c r="B61" i="2" s="1"/>
  <c r="B51" i="2"/>
  <c r="B49" i="2"/>
  <c r="B50" i="2" s="1"/>
  <c r="B48" i="2"/>
  <c r="B47" i="2"/>
  <c r="B46" i="2"/>
  <c r="B45" i="2"/>
  <c r="B44" i="2"/>
  <c r="B43" i="2"/>
  <c r="B42" i="2"/>
  <c r="B41" i="2"/>
  <c r="B40" i="2"/>
  <c r="B39" i="2"/>
  <c r="B36" i="2"/>
  <c r="B37" i="2" s="1"/>
  <c r="B35" i="2"/>
  <c r="B34" i="2"/>
  <c r="B33" i="2"/>
  <c r="B31" i="2"/>
  <c r="B30" i="2"/>
  <c r="B32" i="2" s="1"/>
  <c r="B25" i="2"/>
  <c r="B22" i="2"/>
  <c r="B23" i="2" s="1"/>
  <c r="B21" i="2"/>
  <c r="B20" i="2"/>
  <c r="B19" i="2"/>
  <c r="B17" i="2"/>
  <c r="B16" i="2"/>
  <c r="B18" i="2" s="1"/>
  <c r="B14" i="2"/>
  <c r="B13" i="2"/>
  <c r="B12" i="2"/>
  <c r="B11" i="2"/>
  <c r="B9" i="2"/>
  <c r="B10" i="2" s="1"/>
  <c r="B8" i="2"/>
  <c r="B93" i="1"/>
  <c r="B94" i="1" s="1"/>
  <c r="B92" i="1"/>
  <c r="B91" i="1"/>
  <c r="B90" i="1"/>
  <c r="B89" i="1"/>
  <c r="B84" i="1"/>
  <c r="B82" i="1"/>
  <c r="B81" i="1"/>
  <c r="B83" i="1" s="1"/>
  <c r="B80" i="1"/>
  <c r="B79" i="1"/>
  <c r="B78" i="1"/>
  <c r="B77" i="1"/>
  <c r="B76" i="1"/>
  <c r="B74" i="1"/>
  <c r="B73" i="1"/>
  <c r="B75" i="1" s="1"/>
  <c r="B72" i="1"/>
  <c r="B71" i="1"/>
  <c r="B70" i="1"/>
  <c r="B69" i="1"/>
  <c r="B68" i="1"/>
  <c r="B67" i="1"/>
  <c r="B66" i="1"/>
  <c r="B65" i="1"/>
  <c r="B85" i="1" s="1"/>
  <c r="B62" i="1"/>
  <c r="B61" i="1"/>
  <c r="B60" i="1"/>
  <c r="B59" i="1"/>
  <c r="B58" i="1"/>
  <c r="B57" i="1"/>
  <c r="B56" i="1"/>
  <c r="B55" i="1"/>
  <c r="B54" i="1"/>
  <c r="B63" i="1" s="1"/>
  <c r="B52" i="1"/>
  <c r="B51" i="1"/>
  <c r="B50" i="1"/>
  <c r="B49" i="1"/>
  <c r="B48" i="1"/>
  <c r="B47" i="1"/>
  <c r="B46" i="1"/>
  <c r="B45" i="1"/>
  <c r="B53" i="1" s="1"/>
  <c r="B40" i="1"/>
  <c r="B41" i="1" s="1"/>
  <c r="B39" i="1"/>
  <c r="B38" i="1"/>
  <c r="B36" i="1"/>
  <c r="B35" i="1"/>
  <c r="B34" i="1"/>
  <c r="B32" i="1"/>
  <c r="B31" i="1"/>
  <c r="B30" i="1"/>
  <c r="B29" i="1"/>
  <c r="B28" i="1"/>
  <c r="B27" i="1"/>
  <c r="B33" i="1" s="1"/>
  <c r="B26" i="1"/>
  <c r="B25" i="1"/>
  <c r="B24" i="1"/>
  <c r="B22" i="1"/>
  <c r="B21" i="1"/>
  <c r="B20" i="1"/>
  <c r="B23" i="1" s="1"/>
  <c r="B18" i="1"/>
  <c r="B17" i="1"/>
  <c r="B16" i="1"/>
  <c r="B15" i="1"/>
  <c r="B14" i="1"/>
  <c r="B13" i="1"/>
  <c r="B12" i="1"/>
  <c r="B11" i="1"/>
  <c r="B9" i="1"/>
  <c r="B8" i="1"/>
  <c r="B10" i="1" s="1"/>
  <c r="R24" i="3" l="1"/>
  <c r="H24" i="3"/>
  <c r="V23" i="3"/>
  <c r="AB23" i="3" s="1"/>
  <c r="O26" i="3"/>
  <c r="O27" i="3" s="1"/>
  <c r="AB16" i="3"/>
  <c r="AB34" i="3"/>
  <c r="U26" i="3"/>
  <c r="U27" i="3" s="1"/>
  <c r="X26" i="3"/>
  <c r="X27" i="3" s="1"/>
  <c r="X54" i="3" s="1"/>
  <c r="X62" i="3" s="1"/>
  <c r="G52" i="3"/>
  <c r="G53" i="3" s="1"/>
  <c r="T52" i="3"/>
  <c r="T53" i="3" s="1"/>
  <c r="V53" i="3" s="1"/>
  <c r="AB21" i="3"/>
  <c r="K24" i="3"/>
  <c r="K26" i="3" s="1"/>
  <c r="K27" i="3" s="1"/>
  <c r="V35" i="3"/>
  <c r="AB35" i="3" s="1"/>
  <c r="Y52" i="3"/>
  <c r="U52" i="3"/>
  <c r="Y24" i="3"/>
  <c r="Y26" i="3" s="1"/>
  <c r="Y27" i="3" s="1"/>
  <c r="AA24" i="3"/>
  <c r="AA26" i="3" s="1"/>
  <c r="AA27" i="3" s="1"/>
  <c r="AB22" i="3"/>
  <c r="W53" i="3"/>
  <c r="W54" i="3" s="1"/>
  <c r="W62" i="3" s="1"/>
  <c r="Z52" i="3"/>
  <c r="Z53" i="3" s="1"/>
  <c r="Z54" i="3" s="1"/>
  <c r="Z62" i="3" s="1"/>
  <c r="N50" i="3"/>
  <c r="AB50" i="3" s="1"/>
  <c r="U24" i="3"/>
  <c r="J53" i="3"/>
  <c r="X53" i="3"/>
  <c r="O52" i="3"/>
  <c r="AB12" i="3"/>
  <c r="D18" i="3"/>
  <c r="AB18" i="3" s="1"/>
  <c r="P24" i="3"/>
  <c r="P26" i="3" s="1"/>
  <c r="P27" i="3" s="1"/>
  <c r="J24" i="3"/>
  <c r="J26" i="3" s="1"/>
  <c r="J27" i="3" s="1"/>
  <c r="J54" i="3" s="1"/>
  <c r="J62" i="3" s="1"/>
  <c r="L53" i="3"/>
  <c r="V59" i="3"/>
  <c r="AB19" i="3"/>
  <c r="I24" i="3"/>
  <c r="I26" i="3" s="1"/>
  <c r="I27" i="3" s="1"/>
  <c r="T24" i="3"/>
  <c r="T26" i="3" s="1"/>
  <c r="Y53" i="3"/>
  <c r="AB45" i="3"/>
  <c r="P50" i="3"/>
  <c r="P52" i="3" s="1"/>
  <c r="P53" i="3" s="1"/>
  <c r="E24" i="3"/>
  <c r="U32" i="3"/>
  <c r="M53" i="3"/>
  <c r="M54" i="3" s="1"/>
  <c r="M62" i="3" s="1"/>
  <c r="Q52" i="3"/>
  <c r="Q53" i="3" s="1"/>
  <c r="Q54" i="3" s="1"/>
  <c r="Q62" i="3" s="1"/>
  <c r="U53" i="3"/>
  <c r="V32" i="3"/>
  <c r="AB32" i="3" s="1"/>
  <c r="U54" i="3"/>
  <c r="U62" i="3" s="1"/>
  <c r="B61" i="3"/>
  <c r="AB61" i="3" s="1"/>
  <c r="AB60" i="3"/>
  <c r="H26" i="3"/>
  <c r="H27" i="3" s="1"/>
  <c r="C53" i="3"/>
  <c r="AA53" i="3"/>
  <c r="AB59" i="3"/>
  <c r="H53" i="3"/>
  <c r="R52" i="3"/>
  <c r="R53" i="3" s="1"/>
  <c r="C26" i="3"/>
  <c r="C27" i="3" s="1"/>
  <c r="AB11" i="3"/>
  <c r="L24" i="3"/>
  <c r="L26" i="3" s="1"/>
  <c r="L27" i="3" s="1"/>
  <c r="L54" i="3" s="1"/>
  <c r="L62" i="3" s="1"/>
  <c r="AB42" i="3"/>
  <c r="C52" i="3"/>
  <c r="AB44" i="3"/>
  <c r="S52" i="3"/>
  <c r="S53" i="3" s="1"/>
  <c r="V60" i="3"/>
  <c r="V31" i="3"/>
  <c r="AB31" i="3" s="1"/>
  <c r="AB39" i="3"/>
  <c r="B27" i="3"/>
  <c r="O53" i="3"/>
  <c r="O54" i="3" s="1"/>
  <c r="O62" i="3" s="1"/>
  <c r="E52" i="3"/>
  <c r="E53" i="3" s="1"/>
  <c r="F52" i="3"/>
  <c r="F53" i="3" s="1"/>
  <c r="E26" i="3"/>
  <c r="E27" i="3" s="1"/>
  <c r="R26" i="3"/>
  <c r="R27" i="3" s="1"/>
  <c r="I53" i="3"/>
  <c r="V14" i="3"/>
  <c r="AB14" i="3" s="1"/>
  <c r="S26" i="3"/>
  <c r="S27" i="3" s="1"/>
  <c r="F26" i="3"/>
  <c r="F27" i="3" s="1"/>
  <c r="N10" i="3"/>
  <c r="N26" i="3" s="1"/>
  <c r="N27" i="3" s="1"/>
  <c r="AB8" i="3"/>
  <c r="G26" i="3"/>
  <c r="G27" i="3" s="1"/>
  <c r="K53" i="3"/>
  <c r="K54" i="3" s="1"/>
  <c r="K62" i="3" s="1"/>
  <c r="V10" i="3"/>
  <c r="V56" i="3"/>
  <c r="AB56" i="3" s="1"/>
  <c r="D52" i="3"/>
  <c r="D53" i="3" s="1"/>
  <c r="AB17" i="3"/>
  <c r="B37" i="3"/>
  <c r="AB37" i="3" s="1"/>
  <c r="B24" i="2"/>
  <c r="B26" i="2" s="1"/>
  <c r="B27" i="2" s="1"/>
  <c r="B52" i="2"/>
  <c r="B53" i="2" s="1"/>
  <c r="B37" i="1"/>
  <c r="B42" i="1" s="1"/>
  <c r="B43" i="1" s="1"/>
  <c r="B87" i="1" s="1"/>
  <c r="B95" i="1" s="1"/>
  <c r="B86" i="1"/>
  <c r="T27" i="3" l="1"/>
  <c r="V27" i="3" s="1"/>
  <c r="V26" i="3"/>
  <c r="P54" i="3"/>
  <c r="P62" i="3" s="1"/>
  <c r="G54" i="3"/>
  <c r="G62" i="3" s="1"/>
  <c r="D24" i="3"/>
  <c r="N52" i="3"/>
  <c r="N53" i="3" s="1"/>
  <c r="I54" i="3"/>
  <c r="I62" i="3" s="1"/>
  <c r="Y54" i="3"/>
  <c r="Y62" i="3" s="1"/>
  <c r="V24" i="3"/>
  <c r="V52" i="3"/>
  <c r="AB10" i="3"/>
  <c r="AA54" i="3"/>
  <c r="AA62" i="3" s="1"/>
  <c r="R54" i="3"/>
  <c r="R62" i="3" s="1"/>
  <c r="E54" i="3"/>
  <c r="E62" i="3" s="1"/>
  <c r="N54" i="3"/>
  <c r="N62" i="3" s="1"/>
  <c r="B53" i="3"/>
  <c r="AB53" i="3" s="1"/>
  <c r="F54" i="3"/>
  <c r="F62" i="3" s="1"/>
  <c r="C54" i="3"/>
  <c r="C62" i="3" s="1"/>
  <c r="S54" i="3"/>
  <c r="S62" i="3" s="1"/>
  <c r="H54" i="3"/>
  <c r="H62" i="3" s="1"/>
  <c r="B54" i="2"/>
  <c r="B62" i="2" s="1"/>
  <c r="T54" i="3" l="1"/>
  <c r="AB52" i="3"/>
  <c r="D26" i="3"/>
  <c r="AB24" i="3"/>
  <c r="B54" i="3"/>
  <c r="B62" i="3" s="1"/>
  <c r="V54" i="3"/>
  <c r="T62" i="3"/>
  <c r="V62" i="3" s="1"/>
  <c r="AB26" i="3" l="1"/>
  <c r="D27" i="3"/>
  <c r="D54" i="3" l="1"/>
  <c r="AB27" i="3"/>
  <c r="D62" i="3" l="1"/>
  <c r="AB62" i="3" s="1"/>
  <c r="AB54" i="3"/>
</calcChain>
</file>

<file path=xl/sharedStrings.xml><?xml version="1.0" encoding="utf-8"?>
<sst xmlns="http://schemas.openxmlformats.org/spreadsheetml/2006/main" count="320" uniqueCount="174">
  <si>
    <t>Total</t>
  </si>
  <si>
    <t>Revenue</t>
  </si>
  <si>
    <t xml:space="preserve">   Donations</t>
  </si>
  <si>
    <t xml:space="preserve">      Designated Sport Donation</t>
  </si>
  <si>
    <t xml:space="preserve">      General Fund Donations</t>
  </si>
  <si>
    <t xml:space="preserve">   Total Donations</t>
  </si>
  <si>
    <t xml:space="preserve">   Fundraising Income</t>
  </si>
  <si>
    <t xml:space="preserve">      Accrued Investment Income</t>
  </si>
  <si>
    <t xml:space="preserve">      Apparel Sales</t>
  </si>
  <si>
    <t xml:space="preserve">      Banner advertising</t>
  </si>
  <si>
    <t xml:space="preserve">      Cheer</t>
  </si>
  <si>
    <t xml:space="preserve">      Fall Ball (Baseball)</t>
  </si>
  <si>
    <t xml:space="preserve">      Firework Booth</t>
  </si>
  <si>
    <t xml:space="preserve">      Football Golf Tournament</t>
  </si>
  <si>
    <t xml:space="preserve">      Fundraising Program</t>
  </si>
  <si>
    <t xml:space="preserve">         SchoolFundr</t>
  </si>
  <si>
    <t xml:space="preserve">         SNAP Raise</t>
  </si>
  <si>
    <t xml:space="preserve">         Vertical Raise Trust</t>
  </si>
  <si>
    <t xml:space="preserve">      Total Fundraising Program</t>
  </si>
  <si>
    <t xml:space="preserve">      Golf tournament</t>
  </si>
  <si>
    <t xml:space="preserve">      Hall of Fame</t>
  </si>
  <si>
    <t xml:space="preserve">      Jack Scott Tournament</t>
  </si>
  <si>
    <t xml:space="preserve">      Snack Bar Income</t>
  </si>
  <si>
    <t xml:space="preserve">         B. Basketball</t>
  </si>
  <si>
    <t xml:space="preserve">         Football</t>
  </si>
  <si>
    <t xml:space="preserve">         G. Basketball</t>
  </si>
  <si>
    <t xml:space="preserve">         Girls Soccer</t>
  </si>
  <si>
    <t xml:space="preserve">         Volleyball</t>
  </si>
  <si>
    <t xml:space="preserve">      Total Snack Bar Income</t>
  </si>
  <si>
    <t xml:space="preserve">      Soccer Tournament Income</t>
  </si>
  <si>
    <t xml:space="preserve">      Swim Invitational Income</t>
  </si>
  <si>
    <t xml:space="preserve">      Water Polo Tournament</t>
  </si>
  <si>
    <t xml:space="preserve">   Total Fundraising Income</t>
  </si>
  <si>
    <t xml:space="preserve">   Membership</t>
  </si>
  <si>
    <t xml:space="preserve">   Summer Program Income</t>
  </si>
  <si>
    <t xml:space="preserve">   Total Summer Program Income</t>
  </si>
  <si>
    <t>Total Revenue</t>
  </si>
  <si>
    <t>Gross Profit</t>
  </si>
  <si>
    <t>Expenditures</t>
  </si>
  <si>
    <t xml:space="preserve">   Administrative Expenses</t>
  </si>
  <si>
    <t xml:space="preserve">      Bank Charges</t>
  </si>
  <si>
    <t xml:space="preserve">      HUDL</t>
  </si>
  <si>
    <t xml:space="preserve">      Liability Insurance</t>
  </si>
  <si>
    <t xml:space="preserve">      Postage</t>
  </si>
  <si>
    <t xml:space="preserve">      Tax Return</t>
  </si>
  <si>
    <t xml:space="preserve">      Technology</t>
  </si>
  <si>
    <t xml:space="preserve">      Website</t>
  </si>
  <si>
    <t xml:space="preserve">   Total Administrative Expenses</t>
  </si>
  <si>
    <t xml:space="preserve">   Fundraising Expenses</t>
  </si>
  <si>
    <t xml:space="preserve">      Banner purchases</t>
  </si>
  <si>
    <t xml:space="preserve">      Cheer Pasta Feed</t>
  </si>
  <si>
    <t xml:space="preserve">      Fireworks Booth</t>
  </si>
  <si>
    <t xml:space="preserve">      Golf Tournament</t>
  </si>
  <si>
    <t xml:space="preserve">      Jack Scott Tournament costs</t>
  </si>
  <si>
    <t xml:space="preserve">      Snack Bar Expense</t>
  </si>
  <si>
    <t xml:space="preserve">   Total Fundraising Expenses</t>
  </si>
  <si>
    <t xml:space="preserve">   Sports Team Expenses</t>
  </si>
  <si>
    <t xml:space="preserve">      Athletic Equipment</t>
  </si>
  <si>
    <t xml:space="preserve">      Capital Equipment</t>
  </si>
  <si>
    <t xml:space="preserve">      Coach Training/Certifications</t>
  </si>
  <si>
    <t xml:space="preserve">      Coaches Apparel</t>
  </si>
  <si>
    <t xml:space="preserve">      Field Maintenance</t>
  </si>
  <si>
    <t xml:space="preserve">      General Programs Expense</t>
  </si>
  <si>
    <t xml:space="preserve">      Senior gifts</t>
  </si>
  <si>
    <t xml:space="preserve">      Stipends</t>
  </si>
  <si>
    <t xml:space="preserve">         Athletic Trainer</t>
  </si>
  <si>
    <t xml:space="preserve">         Direct Pay (1099)</t>
  </si>
  <si>
    <t xml:space="preserve">      Total Stipends</t>
  </si>
  <si>
    <t xml:space="preserve">      Supplies</t>
  </si>
  <si>
    <t xml:space="preserve">      Team Awards/Celebration</t>
  </si>
  <si>
    <t xml:space="preserve">      Team Camps</t>
  </si>
  <si>
    <t xml:space="preserve">      Team Meals</t>
  </si>
  <si>
    <t xml:space="preserve">      Team Travel</t>
  </si>
  <si>
    <t xml:space="preserve">      Team Uniforms</t>
  </si>
  <si>
    <t xml:space="preserve">         Player Packs</t>
  </si>
  <si>
    <t xml:space="preserve">      Total Team Uniforms</t>
  </si>
  <si>
    <t xml:space="preserve">      Tournament Fees</t>
  </si>
  <si>
    <t xml:space="preserve">   Total Sports Team Expenses</t>
  </si>
  <si>
    <t>Total Expenditures</t>
  </si>
  <si>
    <t>Net Operating Revenue</t>
  </si>
  <si>
    <t>Other Revenue</t>
  </si>
  <si>
    <t xml:space="preserve">   Interest Income</t>
  </si>
  <si>
    <t xml:space="preserve">   Pass-Through Income</t>
  </si>
  <si>
    <t xml:space="preserve">      Player Packs</t>
  </si>
  <si>
    <t xml:space="preserve">   Total Pass-Through Income</t>
  </si>
  <si>
    <t>Total Other Revenue</t>
  </si>
  <si>
    <t>Net Other Revenue</t>
  </si>
  <si>
    <t>Net Revenue</t>
  </si>
  <si>
    <t>Saturday, May 10, 2025 05:18:41 PM GMT-7 - Cash Basis</t>
  </si>
  <si>
    <t>Rio Americano Athletic Boosters, Inc.</t>
  </si>
  <si>
    <t>Statement of Activity</t>
  </si>
  <si>
    <t>June 2024 - April 2025</t>
  </si>
  <si>
    <t>April 2025</t>
  </si>
  <si>
    <t>Saturday, May 10, 2025 05:19:52 PM GMT-7 - Cash Basis</t>
  </si>
  <si>
    <t>Baseball</t>
  </si>
  <si>
    <t>Basketball - Boys</t>
  </si>
  <si>
    <t>Basketball - Girls</t>
  </si>
  <si>
    <t>Cheer</t>
  </si>
  <si>
    <t>Cross Country</t>
  </si>
  <si>
    <t>Flag Football</t>
  </si>
  <si>
    <t>Football</t>
  </si>
  <si>
    <t>Golf - Boys</t>
  </si>
  <si>
    <t>Golf - Girls</t>
  </si>
  <si>
    <t>Lacrosse - Boys</t>
  </si>
  <si>
    <t>Lacrosse - Girls</t>
  </si>
  <si>
    <t>Soccer - Boys</t>
  </si>
  <si>
    <t>Soccer - Girls</t>
  </si>
  <si>
    <t>Softball</t>
  </si>
  <si>
    <t>Swim &amp; Dive</t>
  </si>
  <si>
    <t>Tennis - Boys</t>
  </si>
  <si>
    <t>Tennis - Girls</t>
  </si>
  <si>
    <t>Track &amp; Field</t>
  </si>
  <si>
    <t>Unrestricted - General Fund</t>
  </si>
  <si>
    <t>Administration</t>
  </si>
  <si>
    <t>Total Unrestricted - General Fund</t>
  </si>
  <si>
    <t>Volleyball - Boys</t>
  </si>
  <si>
    <t>Volleyball - Girls</t>
  </si>
  <si>
    <t>Water Polo- Boys</t>
  </si>
  <si>
    <t>Wrestling</t>
  </si>
  <si>
    <t>Not Specified</t>
  </si>
  <si>
    <t>TOTAL</t>
  </si>
  <si>
    <t>Beginning Balance</t>
  </si>
  <si>
    <t>Covered by RAAB General</t>
  </si>
  <si>
    <t>Adjustment to last month's balance</t>
  </si>
  <si>
    <t>New Ending Balance</t>
  </si>
  <si>
    <t>*Large deposit in May</t>
  </si>
  <si>
    <t>Statement of Financial Position</t>
  </si>
  <si>
    <t>As of April 30, 2025</t>
  </si>
  <si>
    <t>Distribution account</t>
  </si>
  <si>
    <t>Assets</t>
  </si>
  <si>
    <t>Current Assets</t>
  </si>
  <si>
    <t>Bank Accounts</t>
  </si>
  <si>
    <t>Bank of America Checking 2</t>
  </si>
  <si>
    <t>BofA Savings 2</t>
  </si>
  <si>
    <t>CD Investments</t>
  </si>
  <si>
    <t>CD Investment - Maturity 7.16.25</t>
  </si>
  <si>
    <t>CD Investment - Maturity 8.16.25</t>
  </si>
  <si>
    <t>CD Investment - Maturity 9.25.25</t>
  </si>
  <si>
    <t>Total for CD Investments</t>
  </si>
  <si>
    <t>PayPal - RAAB</t>
  </si>
  <si>
    <t>Total for Bank Accounts</t>
  </si>
  <si>
    <t>Accounts Receivable</t>
  </si>
  <si>
    <t>Other Current Assets</t>
  </si>
  <si>
    <t>Total for Current Assets</t>
  </si>
  <si>
    <t>Fixed Assets</t>
  </si>
  <si>
    <t>Other Assets</t>
  </si>
  <si>
    <t>Total for Assets</t>
  </si>
  <si>
    <t>Liabilities and Equity</t>
  </si>
  <si>
    <t>Liabilities</t>
  </si>
  <si>
    <t>Current Liabilities</t>
  </si>
  <si>
    <t>Accounts Payable</t>
  </si>
  <si>
    <t>Credit Cards</t>
  </si>
  <si>
    <t>Other Current Liabilities</t>
  </si>
  <si>
    <t>Total for Current Liabilities</t>
  </si>
  <si>
    <t>Long-term Liabilities</t>
  </si>
  <si>
    <t>Total for Liabilities</t>
  </si>
  <si>
    <t>Equity</t>
  </si>
  <si>
    <t>Unrestricted Net Assets</t>
  </si>
  <si>
    <t>Net Income</t>
  </si>
  <si>
    <t>Restricted Net Assets</t>
  </si>
  <si>
    <t>Field of Dreams</t>
  </si>
  <si>
    <t>Jack Scott Tournament</t>
  </si>
  <si>
    <t>Team Funds</t>
  </si>
  <si>
    <t>Water Polo - Boys</t>
  </si>
  <si>
    <t>Water Polo - Boys - Scoreboard</t>
  </si>
  <si>
    <t>Total for Water Polo - Boys</t>
  </si>
  <si>
    <t>Water Polo - Girls</t>
  </si>
  <si>
    <t>Water Polo - Girls - Scoreboard</t>
  </si>
  <si>
    <t>Total for Water Polo - Girls</t>
  </si>
  <si>
    <t>Total for Team Funds</t>
  </si>
  <si>
    <t>Total for Restricted Net Assets</t>
  </si>
  <si>
    <t>Total for Equity</t>
  </si>
  <si>
    <t>Total for Liabilities and Equity</t>
  </si>
  <si>
    <t>Cash Basis Tuesday, May 13, 2025 05:35 PM GMTZ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</si>
</sst>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#,##0.00\ _€"/>
    <numFmt numFmtId="165" formatCode="&quot;$&quot;* #,##0.00\ _€"/>
    <numFmt numFmtId="166" formatCode="\$#,##0.00"/>
  </numFmts>
  <fonts count="16" x14ac:knownFonts="1">
    <font>
      <sz val="11"/>
      <color indexed="8"/>
      <name val="Aptos Narrow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  <font>
      <b/>
      <sz val="8"/>
      <color rgb="FFFF0000"/>
      <name val="Arial"/>
      <family val="2"/>
    </font>
    <font>
      <b/>
      <sz val="8"/>
      <color rgb="FFFF0000"/>
      <name val="Aptos Narrow"/>
      <family val="2"/>
      <scheme val="minor"/>
    </font>
    <font>
      <sz val="8"/>
      <color rgb="FFFF0000"/>
      <name val="Aptos Narrow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ptos Narrow"/>
      <family val="2"/>
      <scheme val="minor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2">
    <xf numFmtId="0" fontId="0" fillId="0" borderId="0"/>
    <xf numFmtId="0" fontId="12" fillId="0" borderId="1"/>
  </cellStyleXfs>
  <cellXfs count="38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44" fontId="6" fillId="0" borderId="4" xfId="0" applyNumberFormat="1" applyFont="1" applyBorder="1" applyAlignment="1">
      <alignment wrapText="1"/>
    </xf>
    <xf numFmtId="44" fontId="6" fillId="0" borderId="0" xfId="0" applyNumberFormat="1" applyFont="1" applyAlignment="1">
      <alignment wrapText="1"/>
    </xf>
    <xf numFmtId="44" fontId="7" fillId="0" borderId="0" xfId="0" applyNumberFormat="1" applyFont="1"/>
    <xf numFmtId="44" fontId="6" fillId="0" borderId="5" xfId="0" applyNumberFormat="1" applyFont="1" applyBorder="1" applyAlignment="1">
      <alignment wrapText="1"/>
    </xf>
    <xf numFmtId="0" fontId="8" fillId="0" borderId="0" xfId="0" applyFont="1" applyAlignment="1">
      <alignment wrapText="1"/>
    </xf>
    <xf numFmtId="0" fontId="13" fillId="0" borderId="1" xfId="1" applyFont="1" applyAlignment="1">
      <alignment horizontal="center" wrapText="1"/>
    </xf>
    <xf numFmtId="0" fontId="14" fillId="0" borderId="0" xfId="0" applyFont="1" applyAlignment="1">
      <alignment horizontal="left" wrapText="1"/>
    </xf>
    <xf numFmtId="0" fontId="14" fillId="0" borderId="0" xfId="0" applyFont="1" applyAlignment="1">
      <alignment horizontal="left" wrapText="1" indent="1"/>
    </xf>
    <xf numFmtId="0" fontId="14" fillId="0" borderId="0" xfId="0" applyFont="1" applyAlignment="1">
      <alignment horizontal="left" wrapText="1" indent="2"/>
    </xf>
    <xf numFmtId="0" fontId="14" fillId="0" borderId="0" xfId="0" applyFont="1" applyAlignment="1">
      <alignment horizontal="left" wrapText="1" indent="3"/>
    </xf>
    <xf numFmtId="4" fontId="14" fillId="0" borderId="0" xfId="0" applyNumberFormat="1" applyFont="1" applyAlignment="1">
      <alignment wrapText="1"/>
    </xf>
    <xf numFmtId="0" fontId="14" fillId="0" borderId="0" xfId="0" applyFont="1" applyAlignment="1">
      <alignment horizontal="left" wrapText="1" indent="4"/>
    </xf>
    <xf numFmtId="0" fontId="15" fillId="0" borderId="0" xfId="0" applyFont="1" applyAlignment="1">
      <alignment horizontal="left" wrapText="1" indent="3"/>
    </xf>
    <xf numFmtId="166" fontId="15" fillId="0" borderId="3" xfId="0" applyNumberFormat="1" applyFont="1" applyBorder="1" applyAlignment="1">
      <alignment wrapText="1"/>
    </xf>
    <xf numFmtId="0" fontId="15" fillId="0" borderId="0" xfId="0" applyFont="1" applyAlignment="1">
      <alignment horizontal="left" wrapText="1" indent="2"/>
    </xf>
    <xf numFmtId="0" fontId="14" fillId="0" borderId="0" xfId="0" applyFont="1" applyAlignment="1">
      <alignment wrapText="1"/>
    </xf>
    <xf numFmtId="0" fontId="15" fillId="0" borderId="0" xfId="0" applyFont="1" applyAlignment="1">
      <alignment horizontal="left" wrapText="1" indent="1"/>
    </xf>
    <xf numFmtId="0" fontId="15" fillId="0" borderId="0" xfId="0" applyFont="1" applyAlignment="1">
      <alignment horizontal="left" wrapText="1"/>
    </xf>
    <xf numFmtId="4" fontId="15" fillId="0" borderId="3" xfId="0" applyNumberFormat="1" applyFont="1" applyBorder="1" applyAlignment="1">
      <alignment wrapText="1"/>
    </xf>
    <xf numFmtId="0" fontId="14" fillId="0" borderId="0" xfId="0" applyFont="1" applyAlignment="1">
      <alignment horizontal="left" wrapText="1" indent="5"/>
    </xf>
    <xf numFmtId="0" fontId="15" fillId="0" borderId="0" xfId="0" applyFont="1" applyAlignment="1">
      <alignment horizontal="left" wrapText="1" indent="4"/>
    </xf>
    <xf numFmtId="0" fontId="9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center" wrapText="1"/>
    </xf>
    <xf numFmtId="0" fontId="14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2">
    <cellStyle name="HeaderCellStyle" xfId="1" xr:uid="{A346AB0E-C624-49E3-9A28-E00FF63E05B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C390E-7F5C-4439-BD32-26A52F930612}">
  <dimension ref="A1:B73"/>
  <sheetViews>
    <sheetView tabSelected="1" workbookViewId="0">
      <selection sqref="A1:B1"/>
    </sheetView>
  </sheetViews>
  <sheetFormatPr defaultColWidth="12.5703125" defaultRowHeight="15" outlineLevelRow="5" x14ac:dyDescent="0.25"/>
  <cols>
    <col min="1" max="1" width="31.28515625" style="1" customWidth="1"/>
    <col min="2" max="2" width="17.85546875" style="1" customWidth="1"/>
  </cols>
  <sheetData>
    <row r="1" spans="1:2" x14ac:dyDescent="0.25">
      <c r="A1" s="29" t="s">
        <v>126</v>
      </c>
      <c r="B1" s="30"/>
    </row>
    <row r="2" spans="1:2" x14ac:dyDescent="0.25">
      <c r="A2" s="31" t="s">
        <v>89</v>
      </c>
      <c r="B2" s="30"/>
    </row>
    <row r="3" spans="1:2" x14ac:dyDescent="0.25">
      <c r="A3" s="32" t="s">
        <v>127</v>
      </c>
      <c r="B3" s="30"/>
    </row>
    <row r="5" spans="1:2" x14ac:dyDescent="0.25">
      <c r="A5" s="13" t="s">
        <v>128</v>
      </c>
      <c r="B5" s="13" t="s">
        <v>0</v>
      </c>
    </row>
    <row r="6" spans="1:2" x14ac:dyDescent="0.25">
      <c r="A6" s="14" t="s">
        <v>129</v>
      </c>
    </row>
    <row r="7" spans="1:2" outlineLevel="1" x14ac:dyDescent="0.25">
      <c r="A7" s="15" t="s">
        <v>130</v>
      </c>
    </row>
    <row r="8" spans="1:2" outlineLevel="2" x14ac:dyDescent="0.25">
      <c r="A8" s="16" t="s">
        <v>131</v>
      </c>
    </row>
    <row r="9" spans="1:2" outlineLevel="3" x14ac:dyDescent="0.25">
      <c r="A9" s="17" t="s">
        <v>132</v>
      </c>
      <c r="B9" s="18">
        <v>181621.7</v>
      </c>
    </row>
    <row r="10" spans="1:2" outlineLevel="3" x14ac:dyDescent="0.25">
      <c r="A10" s="17" t="s">
        <v>133</v>
      </c>
      <c r="B10" s="18">
        <v>34740.74</v>
      </c>
    </row>
    <row r="11" spans="1:2" outlineLevel="3" x14ac:dyDescent="0.25">
      <c r="A11" s="17" t="s">
        <v>134</v>
      </c>
      <c r="B11" s="18">
        <v>0</v>
      </c>
    </row>
    <row r="12" spans="1:2" outlineLevel="4" x14ac:dyDescent="0.25">
      <c r="A12" s="19" t="s">
        <v>135</v>
      </c>
      <c r="B12" s="18">
        <v>67063.259999999995</v>
      </c>
    </row>
    <row r="13" spans="1:2" outlineLevel="4" x14ac:dyDescent="0.25">
      <c r="A13" s="19" t="s">
        <v>136</v>
      </c>
      <c r="B13" s="18">
        <v>67374.95</v>
      </c>
    </row>
    <row r="14" spans="1:2" outlineLevel="4" x14ac:dyDescent="0.25">
      <c r="A14" s="19" t="s">
        <v>137</v>
      </c>
      <c r="B14" s="18">
        <v>67302.03</v>
      </c>
    </row>
    <row r="15" spans="1:2" outlineLevel="3" x14ac:dyDescent="0.25">
      <c r="A15" s="20" t="s">
        <v>138</v>
      </c>
      <c r="B15" s="21">
        <v>201740.24</v>
      </c>
    </row>
    <row r="16" spans="1:2" outlineLevel="3" x14ac:dyDescent="0.25">
      <c r="A16" s="17" t="s">
        <v>139</v>
      </c>
      <c r="B16" s="18">
        <v>10</v>
      </c>
    </row>
    <row r="17" spans="1:2" outlineLevel="2" x14ac:dyDescent="0.25">
      <c r="A17" s="22" t="s">
        <v>140</v>
      </c>
      <c r="B17" s="21">
        <v>418112.68</v>
      </c>
    </row>
    <row r="18" spans="1:2" outlineLevel="2" x14ac:dyDescent="0.25">
      <c r="A18" s="16" t="s">
        <v>141</v>
      </c>
      <c r="B18" s="23"/>
    </row>
    <row r="19" spans="1:2" outlineLevel="2" x14ac:dyDescent="0.25">
      <c r="A19" s="16" t="s">
        <v>142</v>
      </c>
      <c r="B19" s="23"/>
    </row>
    <row r="20" spans="1:2" outlineLevel="1" x14ac:dyDescent="0.25">
      <c r="A20" s="24" t="s">
        <v>143</v>
      </c>
      <c r="B20" s="21">
        <v>418112.68</v>
      </c>
    </row>
    <row r="21" spans="1:2" outlineLevel="1" x14ac:dyDescent="0.25">
      <c r="A21" s="15" t="s">
        <v>144</v>
      </c>
      <c r="B21" s="23"/>
    </row>
    <row r="22" spans="1:2" outlineLevel="1" x14ac:dyDescent="0.25">
      <c r="A22" s="15" t="s">
        <v>145</v>
      </c>
      <c r="B22" s="23"/>
    </row>
    <row r="23" spans="1:2" x14ac:dyDescent="0.25">
      <c r="A23" s="25" t="s">
        <v>146</v>
      </c>
      <c r="B23" s="21">
        <v>418112.68</v>
      </c>
    </row>
    <row r="24" spans="1:2" x14ac:dyDescent="0.25">
      <c r="A24" s="14" t="s">
        <v>147</v>
      </c>
    </row>
    <row r="25" spans="1:2" outlineLevel="1" x14ac:dyDescent="0.25">
      <c r="A25" s="15" t="s">
        <v>148</v>
      </c>
    </row>
    <row r="26" spans="1:2" outlineLevel="2" x14ac:dyDescent="0.25">
      <c r="A26" s="16" t="s">
        <v>149</v>
      </c>
    </row>
    <row r="27" spans="1:2" outlineLevel="3" x14ac:dyDescent="0.25">
      <c r="A27" s="17" t="s">
        <v>150</v>
      </c>
      <c r="B27" s="23"/>
    </row>
    <row r="28" spans="1:2" outlineLevel="3" x14ac:dyDescent="0.25">
      <c r="A28" s="17" t="s">
        <v>151</v>
      </c>
      <c r="B28" s="23"/>
    </row>
    <row r="29" spans="1:2" outlineLevel="3" x14ac:dyDescent="0.25">
      <c r="A29" s="17" t="s">
        <v>152</v>
      </c>
      <c r="B29" s="23"/>
    </row>
    <row r="30" spans="1:2" outlineLevel="2" x14ac:dyDescent="0.25">
      <c r="A30" s="22" t="s">
        <v>153</v>
      </c>
      <c r="B30" s="26">
        <v>0</v>
      </c>
    </row>
    <row r="31" spans="1:2" outlineLevel="2" x14ac:dyDescent="0.25">
      <c r="A31" s="16" t="s">
        <v>154</v>
      </c>
      <c r="B31" s="23"/>
    </row>
    <row r="32" spans="1:2" outlineLevel="1" x14ac:dyDescent="0.25">
      <c r="A32" s="24" t="s">
        <v>155</v>
      </c>
      <c r="B32" s="26">
        <v>0</v>
      </c>
    </row>
    <row r="33" spans="1:2" outlineLevel="1" x14ac:dyDescent="0.25">
      <c r="A33" s="15" t="s">
        <v>156</v>
      </c>
    </row>
    <row r="34" spans="1:2" outlineLevel="2" x14ac:dyDescent="0.25">
      <c r="A34" s="16" t="s">
        <v>157</v>
      </c>
      <c r="B34" s="18">
        <v>360258.53000000067</v>
      </c>
    </row>
    <row r="35" spans="1:2" outlineLevel="2" x14ac:dyDescent="0.25">
      <c r="A35" s="16" t="s">
        <v>158</v>
      </c>
      <c r="B35" s="18">
        <v>-44688.939999999922</v>
      </c>
    </row>
    <row r="36" spans="1:2" outlineLevel="2" x14ac:dyDescent="0.25">
      <c r="A36" s="16" t="s">
        <v>159</v>
      </c>
      <c r="B36" s="18">
        <v>0</v>
      </c>
    </row>
    <row r="37" spans="1:2" outlineLevel="3" x14ac:dyDescent="0.25">
      <c r="A37" s="17" t="s">
        <v>160</v>
      </c>
      <c r="B37" s="18">
        <v>13128.71</v>
      </c>
    </row>
    <row r="38" spans="1:2" outlineLevel="3" x14ac:dyDescent="0.25">
      <c r="A38" s="17" t="s">
        <v>161</v>
      </c>
      <c r="B38" s="18">
        <v>2000</v>
      </c>
    </row>
    <row r="39" spans="1:2" outlineLevel="3" x14ac:dyDescent="0.25">
      <c r="A39" s="17" t="s">
        <v>162</v>
      </c>
      <c r="B39" s="18">
        <v>0</v>
      </c>
    </row>
    <row r="40" spans="1:2" outlineLevel="4" x14ac:dyDescent="0.25">
      <c r="A40" s="19" t="s">
        <v>94</v>
      </c>
      <c r="B40" s="18">
        <v>-8004.96</v>
      </c>
    </row>
    <row r="41" spans="1:2" outlineLevel="4" x14ac:dyDescent="0.25">
      <c r="A41" s="19" t="s">
        <v>95</v>
      </c>
      <c r="B41" s="18">
        <v>-4094.47</v>
      </c>
    </row>
    <row r="42" spans="1:2" outlineLevel="4" x14ac:dyDescent="0.25">
      <c r="A42" s="19" t="s">
        <v>96</v>
      </c>
      <c r="B42" s="18">
        <v>7421.39</v>
      </c>
    </row>
    <row r="43" spans="1:2" outlineLevel="4" x14ac:dyDescent="0.25">
      <c r="A43" s="19" t="s">
        <v>97</v>
      </c>
      <c r="B43" s="18">
        <v>3096.82</v>
      </c>
    </row>
    <row r="44" spans="1:2" outlineLevel="4" x14ac:dyDescent="0.25">
      <c r="A44" s="19" t="s">
        <v>99</v>
      </c>
      <c r="B44" s="18">
        <v>2165.5300000000002</v>
      </c>
    </row>
    <row r="45" spans="1:2" outlineLevel="4" x14ac:dyDescent="0.25">
      <c r="A45" s="19" t="s">
        <v>100</v>
      </c>
      <c r="B45" s="18">
        <v>4285.04</v>
      </c>
    </row>
    <row r="46" spans="1:2" outlineLevel="4" x14ac:dyDescent="0.25">
      <c r="A46" s="19" t="s">
        <v>101</v>
      </c>
      <c r="B46" s="18">
        <v>-1173.94</v>
      </c>
    </row>
    <row r="47" spans="1:2" outlineLevel="4" x14ac:dyDescent="0.25">
      <c r="A47" s="19" t="s">
        <v>102</v>
      </c>
      <c r="B47" s="18">
        <v>520</v>
      </c>
    </row>
    <row r="48" spans="1:2" outlineLevel="4" x14ac:dyDescent="0.25">
      <c r="A48" s="19" t="s">
        <v>103</v>
      </c>
      <c r="B48" s="18">
        <v>1723.48</v>
      </c>
    </row>
    <row r="49" spans="1:2" outlineLevel="4" x14ac:dyDescent="0.25">
      <c r="A49" s="19" t="s">
        <v>104</v>
      </c>
      <c r="B49" s="18">
        <v>10339.49</v>
      </c>
    </row>
    <row r="50" spans="1:2" outlineLevel="4" x14ac:dyDescent="0.25">
      <c r="A50" s="19" t="s">
        <v>105</v>
      </c>
      <c r="B50" s="18">
        <v>2215.98</v>
      </c>
    </row>
    <row r="51" spans="1:2" outlineLevel="4" x14ac:dyDescent="0.25">
      <c r="A51" s="19" t="s">
        <v>106</v>
      </c>
      <c r="B51" s="18">
        <v>17262.900000000001</v>
      </c>
    </row>
    <row r="52" spans="1:2" outlineLevel="4" x14ac:dyDescent="0.25">
      <c r="A52" s="19" t="s">
        <v>107</v>
      </c>
      <c r="B52" s="18">
        <v>561.23</v>
      </c>
    </row>
    <row r="53" spans="1:2" outlineLevel="4" x14ac:dyDescent="0.25">
      <c r="A53" s="19" t="s">
        <v>108</v>
      </c>
      <c r="B53" s="18">
        <v>6444.59</v>
      </c>
    </row>
    <row r="54" spans="1:2" outlineLevel="4" x14ac:dyDescent="0.25">
      <c r="A54" s="19" t="s">
        <v>109</v>
      </c>
      <c r="B54" s="18">
        <v>1334.45</v>
      </c>
    </row>
    <row r="55" spans="1:2" outlineLevel="4" x14ac:dyDescent="0.25">
      <c r="A55" s="19" t="s">
        <v>110</v>
      </c>
      <c r="B55" s="18">
        <v>3996.43</v>
      </c>
    </row>
    <row r="56" spans="1:2" outlineLevel="4" x14ac:dyDescent="0.25">
      <c r="A56" s="19" t="s">
        <v>111</v>
      </c>
      <c r="B56" s="18">
        <v>720.09</v>
      </c>
    </row>
    <row r="57" spans="1:2" outlineLevel="4" x14ac:dyDescent="0.25">
      <c r="A57" s="19" t="s">
        <v>115</v>
      </c>
      <c r="B57" s="18">
        <v>1375.25</v>
      </c>
    </row>
    <row r="58" spans="1:2" outlineLevel="4" x14ac:dyDescent="0.25">
      <c r="A58" s="19" t="s">
        <v>116</v>
      </c>
      <c r="B58" s="18">
        <v>3378.55</v>
      </c>
    </row>
    <row r="59" spans="1:2" outlineLevel="4" x14ac:dyDescent="0.25">
      <c r="A59" s="19" t="s">
        <v>163</v>
      </c>
      <c r="B59" s="18">
        <v>6881.96</v>
      </c>
    </row>
    <row r="60" spans="1:2" outlineLevel="5" x14ac:dyDescent="0.25">
      <c r="A60" s="27" t="s">
        <v>164</v>
      </c>
      <c r="B60" s="18">
        <v>3071.78</v>
      </c>
    </row>
    <row r="61" spans="1:2" outlineLevel="4" x14ac:dyDescent="0.25">
      <c r="A61" s="28" t="s">
        <v>165</v>
      </c>
      <c r="B61" s="21">
        <v>9953.74</v>
      </c>
    </row>
    <row r="62" spans="1:2" outlineLevel="4" x14ac:dyDescent="0.25">
      <c r="A62" s="19" t="s">
        <v>166</v>
      </c>
      <c r="B62" s="18">
        <v>9845.3799999999992</v>
      </c>
    </row>
    <row r="63" spans="1:2" outlineLevel="5" x14ac:dyDescent="0.25">
      <c r="A63" s="27" t="s">
        <v>167</v>
      </c>
      <c r="B63" s="18">
        <v>7366.49</v>
      </c>
    </row>
    <row r="64" spans="1:2" outlineLevel="4" x14ac:dyDescent="0.25">
      <c r="A64" s="28" t="s">
        <v>168</v>
      </c>
      <c r="B64" s="21">
        <v>17211.87</v>
      </c>
    </row>
    <row r="65" spans="1:2" outlineLevel="4" x14ac:dyDescent="0.25">
      <c r="A65" s="19" t="s">
        <v>118</v>
      </c>
      <c r="B65" s="18">
        <v>6680.92</v>
      </c>
    </row>
    <row r="66" spans="1:2" outlineLevel="3" x14ac:dyDescent="0.25">
      <c r="A66" s="20" t="s">
        <v>169</v>
      </c>
      <c r="B66" s="21">
        <v>87414.38</v>
      </c>
    </row>
    <row r="67" spans="1:2" outlineLevel="2" x14ac:dyDescent="0.25">
      <c r="A67" s="22" t="s">
        <v>170</v>
      </c>
      <c r="B67" s="21">
        <v>102543.09000000001</v>
      </c>
    </row>
    <row r="68" spans="1:2" outlineLevel="1" x14ac:dyDescent="0.25">
      <c r="A68" s="24" t="s">
        <v>171</v>
      </c>
      <c r="B68" s="21">
        <v>418112.68000000075</v>
      </c>
    </row>
    <row r="69" spans="1:2" x14ac:dyDescent="0.25">
      <c r="A69" s="25" t="s">
        <v>172</v>
      </c>
      <c r="B69" s="21">
        <v>418112.68000000075</v>
      </c>
    </row>
    <row r="73" spans="1:2" x14ac:dyDescent="0.25">
      <c r="A73" s="33" t="s">
        <v>173</v>
      </c>
      <c r="B73" s="30"/>
    </row>
  </sheetData>
  <mergeCells count="4">
    <mergeCell ref="A1:B1"/>
    <mergeCell ref="A2:B2"/>
    <mergeCell ref="A3:B3"/>
    <mergeCell ref="A73:B7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99"/>
  <sheetViews>
    <sheetView topLeftCell="A87" workbookViewId="0">
      <selection sqref="A1:B1"/>
    </sheetView>
  </sheetViews>
  <sheetFormatPr defaultRowHeight="15" x14ac:dyDescent="0.25"/>
  <cols>
    <col min="1" max="2" width="32.7109375" customWidth="1"/>
  </cols>
  <sheetData>
    <row r="1" spans="1:2" ht="18" x14ac:dyDescent="0.25">
      <c r="A1" s="36" t="s">
        <v>89</v>
      </c>
      <c r="B1" s="35"/>
    </row>
    <row r="2" spans="1:2" ht="18" x14ac:dyDescent="0.25">
      <c r="A2" s="36" t="s">
        <v>90</v>
      </c>
      <c r="B2" s="35"/>
    </row>
    <row r="3" spans="1:2" x14ac:dyDescent="0.25">
      <c r="A3" s="37" t="s">
        <v>91</v>
      </c>
      <c r="B3" s="35"/>
    </row>
    <row r="5" spans="1:2" x14ac:dyDescent="0.25">
      <c r="A5" s="1"/>
      <c r="B5" s="2" t="s">
        <v>0</v>
      </c>
    </row>
    <row r="6" spans="1:2" x14ac:dyDescent="0.25">
      <c r="A6" s="3" t="s">
        <v>1</v>
      </c>
      <c r="B6" s="4"/>
    </row>
    <row r="7" spans="1:2" x14ac:dyDescent="0.25">
      <c r="A7" s="3" t="s">
        <v>2</v>
      </c>
      <c r="B7" s="4"/>
    </row>
    <row r="8" spans="1:2" x14ac:dyDescent="0.25">
      <c r="A8" s="3" t="s">
        <v>3</v>
      </c>
      <c r="B8" s="5">
        <f>35508.15</f>
        <v>35508.15</v>
      </c>
    </row>
    <row r="9" spans="1:2" x14ac:dyDescent="0.25">
      <c r="A9" s="3" t="s">
        <v>4</v>
      </c>
      <c r="B9" s="5">
        <f>2469.27</f>
        <v>2469.27</v>
      </c>
    </row>
    <row r="10" spans="1:2" x14ac:dyDescent="0.25">
      <c r="A10" s="3" t="s">
        <v>5</v>
      </c>
      <c r="B10" s="6">
        <f>((B7)+(B8))+(B9)</f>
        <v>37977.42</v>
      </c>
    </row>
    <row r="11" spans="1:2" x14ac:dyDescent="0.25">
      <c r="A11" s="3" t="s">
        <v>6</v>
      </c>
      <c r="B11" s="5">
        <f>17625.59</f>
        <v>17625.59</v>
      </c>
    </row>
    <row r="12" spans="1:2" x14ac:dyDescent="0.25">
      <c r="A12" s="3" t="s">
        <v>7</v>
      </c>
      <c r="B12" s="5">
        <f>6740.24</f>
        <v>6740.24</v>
      </c>
    </row>
    <row r="13" spans="1:2" x14ac:dyDescent="0.25">
      <c r="A13" s="3" t="s">
        <v>8</v>
      </c>
      <c r="B13" s="5">
        <f>6259.16</f>
        <v>6259.16</v>
      </c>
    </row>
    <row r="14" spans="1:2" x14ac:dyDescent="0.25">
      <c r="A14" s="3" t="s">
        <v>9</v>
      </c>
      <c r="B14" s="5">
        <f>1200</f>
        <v>1200</v>
      </c>
    </row>
    <row r="15" spans="1:2" x14ac:dyDescent="0.25">
      <c r="A15" s="3" t="s">
        <v>10</v>
      </c>
      <c r="B15" s="5">
        <f>23329.23</f>
        <v>23329.23</v>
      </c>
    </row>
    <row r="16" spans="1:2" x14ac:dyDescent="0.25">
      <c r="A16" s="3" t="s">
        <v>11</v>
      </c>
      <c r="B16" s="5">
        <f>12975</f>
        <v>12975</v>
      </c>
    </row>
    <row r="17" spans="1:2" x14ac:dyDescent="0.25">
      <c r="A17" s="3" t="s">
        <v>12</v>
      </c>
      <c r="B17" s="5">
        <f>56167.67</f>
        <v>56167.67</v>
      </c>
    </row>
    <row r="18" spans="1:2" x14ac:dyDescent="0.25">
      <c r="A18" s="3" t="s">
        <v>13</v>
      </c>
      <c r="B18" s="5">
        <f>22935.17</f>
        <v>22935.17</v>
      </c>
    </row>
    <row r="19" spans="1:2" x14ac:dyDescent="0.25">
      <c r="A19" s="3" t="s">
        <v>14</v>
      </c>
      <c r="B19" s="4"/>
    </row>
    <row r="20" spans="1:2" x14ac:dyDescent="0.25">
      <c r="A20" s="3" t="s">
        <v>15</v>
      </c>
      <c r="B20" s="5">
        <f>35628.94</f>
        <v>35628.94</v>
      </c>
    </row>
    <row r="21" spans="1:2" x14ac:dyDescent="0.25">
      <c r="A21" s="3" t="s">
        <v>16</v>
      </c>
      <c r="B21" s="5">
        <f>6951.45</f>
        <v>6951.45</v>
      </c>
    </row>
    <row r="22" spans="1:2" x14ac:dyDescent="0.25">
      <c r="A22" s="3" t="s">
        <v>17</v>
      </c>
      <c r="B22" s="5">
        <f>35549.59</f>
        <v>35549.589999999997</v>
      </c>
    </row>
    <row r="23" spans="1:2" x14ac:dyDescent="0.25">
      <c r="A23" s="3" t="s">
        <v>18</v>
      </c>
      <c r="B23" s="6">
        <f>(((B19)+(B20))+(B21))+(B22)</f>
        <v>78129.98</v>
      </c>
    </row>
    <row r="24" spans="1:2" x14ac:dyDescent="0.25">
      <c r="A24" s="3" t="s">
        <v>19</v>
      </c>
      <c r="B24" s="5">
        <f>5697.95</f>
        <v>5697.95</v>
      </c>
    </row>
    <row r="25" spans="1:2" x14ac:dyDescent="0.25">
      <c r="A25" s="3" t="s">
        <v>20</v>
      </c>
      <c r="B25" s="5">
        <f>1917.2</f>
        <v>1917.2</v>
      </c>
    </row>
    <row r="26" spans="1:2" x14ac:dyDescent="0.25">
      <c r="A26" s="3" t="s">
        <v>21</v>
      </c>
      <c r="B26" s="5">
        <f>967.3</f>
        <v>967.3</v>
      </c>
    </row>
    <row r="27" spans="1:2" x14ac:dyDescent="0.25">
      <c r="A27" s="3" t="s">
        <v>22</v>
      </c>
      <c r="B27" s="5">
        <f>1140.77</f>
        <v>1140.77</v>
      </c>
    </row>
    <row r="28" spans="1:2" x14ac:dyDescent="0.25">
      <c r="A28" s="3" t="s">
        <v>23</v>
      </c>
      <c r="B28" s="5">
        <f>2793.84</f>
        <v>2793.84</v>
      </c>
    </row>
    <row r="29" spans="1:2" x14ac:dyDescent="0.25">
      <c r="A29" s="3" t="s">
        <v>24</v>
      </c>
      <c r="B29" s="5">
        <f>11694.97</f>
        <v>11694.97</v>
      </c>
    </row>
    <row r="30" spans="1:2" x14ac:dyDescent="0.25">
      <c r="A30" s="3" t="s">
        <v>25</v>
      </c>
      <c r="B30" s="5">
        <f>1532.75</f>
        <v>1532.75</v>
      </c>
    </row>
    <row r="31" spans="1:2" x14ac:dyDescent="0.25">
      <c r="A31" s="3" t="s">
        <v>26</v>
      </c>
      <c r="B31" s="5">
        <f>875.32</f>
        <v>875.32</v>
      </c>
    </row>
    <row r="32" spans="1:2" x14ac:dyDescent="0.25">
      <c r="A32" s="3" t="s">
        <v>27</v>
      </c>
      <c r="B32" s="5">
        <f>832.62</f>
        <v>832.62</v>
      </c>
    </row>
    <row r="33" spans="1:2" x14ac:dyDescent="0.25">
      <c r="A33" s="3" t="s">
        <v>28</v>
      </c>
      <c r="B33" s="6">
        <f>(((((B27)+(B28))+(B29))+(B30))+(B31))+(B32)</f>
        <v>18870.27</v>
      </c>
    </row>
    <row r="34" spans="1:2" x14ac:dyDescent="0.25">
      <c r="A34" s="3" t="s">
        <v>29</v>
      </c>
      <c r="B34" s="5">
        <f>2550</f>
        <v>2550</v>
      </c>
    </row>
    <row r="35" spans="1:2" x14ac:dyDescent="0.25">
      <c r="A35" s="3" t="s">
        <v>30</v>
      </c>
      <c r="B35" s="5">
        <f>400</f>
        <v>400</v>
      </c>
    </row>
    <row r="36" spans="1:2" x14ac:dyDescent="0.25">
      <c r="A36" s="3" t="s">
        <v>31</v>
      </c>
      <c r="B36" s="5">
        <f>1672.5</f>
        <v>1672.5</v>
      </c>
    </row>
    <row r="37" spans="1:2" x14ac:dyDescent="0.25">
      <c r="A37" s="3" t="s">
        <v>32</v>
      </c>
      <c r="B37" s="6">
        <f>(((((((((((((((B11)+(B12))+(B13))+(B14))+(B15))+(B16))+(B17))+(B18))+(B23))+(B24))+(B25))+(B26))+(B33))+(B34))+(B35))+(B36)</f>
        <v>257437.25999999998</v>
      </c>
    </row>
    <row r="38" spans="1:2" x14ac:dyDescent="0.25">
      <c r="A38" s="3" t="s">
        <v>33</v>
      </c>
      <c r="B38" s="5">
        <f>81206.17</f>
        <v>81206.17</v>
      </c>
    </row>
    <row r="39" spans="1:2" x14ac:dyDescent="0.25">
      <c r="A39" s="3" t="s">
        <v>34</v>
      </c>
      <c r="B39" s="5">
        <f>3811</f>
        <v>3811</v>
      </c>
    </row>
    <row r="40" spans="1:2" x14ac:dyDescent="0.25">
      <c r="A40" s="3" t="s">
        <v>10</v>
      </c>
      <c r="B40" s="5">
        <f>10200</f>
        <v>10200</v>
      </c>
    </row>
    <row r="41" spans="1:2" x14ac:dyDescent="0.25">
      <c r="A41" s="3" t="s">
        <v>35</v>
      </c>
      <c r="B41" s="6">
        <f>(B39)+(B40)</f>
        <v>14011</v>
      </c>
    </row>
    <row r="42" spans="1:2" x14ac:dyDescent="0.25">
      <c r="A42" s="3" t="s">
        <v>36</v>
      </c>
      <c r="B42" s="6">
        <f>(((B10)+(B37))+(B38))+(B41)</f>
        <v>390631.85</v>
      </c>
    </row>
    <row r="43" spans="1:2" x14ac:dyDescent="0.25">
      <c r="A43" s="3" t="s">
        <v>37</v>
      </c>
      <c r="B43" s="6">
        <f>(B42)-(0)</f>
        <v>390631.85</v>
      </c>
    </row>
    <row r="44" spans="1:2" x14ac:dyDescent="0.25">
      <c r="A44" s="3" t="s">
        <v>38</v>
      </c>
      <c r="B44" s="4"/>
    </row>
    <row r="45" spans="1:2" x14ac:dyDescent="0.25">
      <c r="A45" s="3" t="s">
        <v>39</v>
      </c>
      <c r="B45" s="5">
        <f>1412.63</f>
        <v>1412.63</v>
      </c>
    </row>
    <row r="46" spans="1:2" x14ac:dyDescent="0.25">
      <c r="A46" s="3" t="s">
        <v>40</v>
      </c>
      <c r="B46" s="5">
        <f>23.99</f>
        <v>23.99</v>
      </c>
    </row>
    <row r="47" spans="1:2" x14ac:dyDescent="0.25">
      <c r="A47" s="3" t="s">
        <v>41</v>
      </c>
      <c r="B47" s="5">
        <f>9500</f>
        <v>9500</v>
      </c>
    </row>
    <row r="48" spans="1:2" x14ac:dyDescent="0.25">
      <c r="A48" s="3" t="s">
        <v>42</v>
      </c>
      <c r="B48" s="5">
        <f>5018.4</f>
        <v>5018.3999999999996</v>
      </c>
    </row>
    <row r="49" spans="1:2" x14ac:dyDescent="0.25">
      <c r="A49" s="3" t="s">
        <v>43</v>
      </c>
      <c r="B49" s="5">
        <f>224.88</f>
        <v>224.88</v>
      </c>
    </row>
    <row r="50" spans="1:2" x14ac:dyDescent="0.25">
      <c r="A50" s="3" t="s">
        <v>44</v>
      </c>
      <c r="B50" s="5">
        <f>1900</f>
        <v>1900</v>
      </c>
    </row>
    <row r="51" spans="1:2" x14ac:dyDescent="0.25">
      <c r="A51" s="3" t="s">
        <v>45</v>
      </c>
      <c r="B51" s="5">
        <f>1071</f>
        <v>1071</v>
      </c>
    </row>
    <row r="52" spans="1:2" x14ac:dyDescent="0.25">
      <c r="A52" s="3" t="s">
        <v>46</v>
      </c>
      <c r="B52" s="5">
        <f>2122.17</f>
        <v>2122.17</v>
      </c>
    </row>
    <row r="53" spans="1:2" x14ac:dyDescent="0.25">
      <c r="A53" s="3" t="s">
        <v>47</v>
      </c>
      <c r="B53" s="6">
        <f>(((((((B45)+(B46))+(B47))+(B48))+(B49))+(B50))+(B51))+(B52)</f>
        <v>21273.07</v>
      </c>
    </row>
    <row r="54" spans="1:2" x14ac:dyDescent="0.25">
      <c r="A54" s="3" t="s">
        <v>48</v>
      </c>
      <c r="B54" s="5">
        <f>2909.25</f>
        <v>2909.25</v>
      </c>
    </row>
    <row r="55" spans="1:2" x14ac:dyDescent="0.25">
      <c r="A55" s="3" t="s">
        <v>49</v>
      </c>
      <c r="B55" s="5">
        <f>570.22</f>
        <v>570.22</v>
      </c>
    </row>
    <row r="56" spans="1:2" x14ac:dyDescent="0.25">
      <c r="A56" s="3" t="s">
        <v>50</v>
      </c>
      <c r="B56" s="5">
        <f>949.53</f>
        <v>949.53</v>
      </c>
    </row>
    <row r="57" spans="1:2" x14ac:dyDescent="0.25">
      <c r="A57" s="3" t="s">
        <v>51</v>
      </c>
      <c r="B57" s="5">
        <f>12086.71</f>
        <v>12086.71</v>
      </c>
    </row>
    <row r="58" spans="1:2" x14ac:dyDescent="0.25">
      <c r="A58" s="3" t="s">
        <v>13</v>
      </c>
      <c r="B58" s="5">
        <f>8587.98</f>
        <v>8587.98</v>
      </c>
    </row>
    <row r="59" spans="1:2" x14ac:dyDescent="0.25">
      <c r="A59" s="3" t="s">
        <v>52</v>
      </c>
      <c r="B59" s="5">
        <f>14766.99</f>
        <v>14766.99</v>
      </c>
    </row>
    <row r="60" spans="1:2" x14ac:dyDescent="0.25">
      <c r="A60" s="3" t="s">
        <v>20</v>
      </c>
      <c r="B60" s="5">
        <f>2054.59</f>
        <v>2054.59</v>
      </c>
    </row>
    <row r="61" spans="1:2" x14ac:dyDescent="0.25">
      <c r="A61" s="3" t="s">
        <v>53</v>
      </c>
      <c r="B61" s="5">
        <f>27.19</f>
        <v>27.19</v>
      </c>
    </row>
    <row r="62" spans="1:2" x14ac:dyDescent="0.25">
      <c r="A62" s="3" t="s">
        <v>54</v>
      </c>
      <c r="B62" s="5">
        <f>4204.09</f>
        <v>4204.09</v>
      </c>
    </row>
    <row r="63" spans="1:2" x14ac:dyDescent="0.25">
      <c r="A63" s="3" t="s">
        <v>55</v>
      </c>
      <c r="B63" s="6">
        <f>((((((((B54)+(B55))+(B56))+(B57))+(B58))+(B59))+(B60))+(B61))+(B62)</f>
        <v>46156.55</v>
      </c>
    </row>
    <row r="64" spans="1:2" x14ac:dyDescent="0.25">
      <c r="A64" s="3" t="s">
        <v>56</v>
      </c>
      <c r="B64" s="4"/>
    </row>
    <row r="65" spans="1:2" x14ac:dyDescent="0.25">
      <c r="A65" s="3" t="s">
        <v>57</v>
      </c>
      <c r="B65" s="5">
        <f>25086.17</f>
        <v>25086.17</v>
      </c>
    </row>
    <row r="66" spans="1:2" x14ac:dyDescent="0.25">
      <c r="A66" s="3" t="s">
        <v>58</v>
      </c>
      <c r="B66" s="5">
        <f>27453.45</f>
        <v>27453.45</v>
      </c>
    </row>
    <row r="67" spans="1:2" x14ac:dyDescent="0.25">
      <c r="A67" s="3" t="s">
        <v>59</v>
      </c>
      <c r="B67" s="5">
        <f>1189.49</f>
        <v>1189.49</v>
      </c>
    </row>
    <row r="68" spans="1:2" x14ac:dyDescent="0.25">
      <c r="A68" s="3" t="s">
        <v>60</v>
      </c>
      <c r="B68" s="5">
        <f>9991.15</f>
        <v>9991.15</v>
      </c>
    </row>
    <row r="69" spans="1:2" x14ac:dyDescent="0.25">
      <c r="A69" s="3" t="s">
        <v>61</v>
      </c>
      <c r="B69" s="5">
        <f>4056.16</f>
        <v>4056.16</v>
      </c>
    </row>
    <row r="70" spans="1:2" x14ac:dyDescent="0.25">
      <c r="A70" s="3" t="s">
        <v>62</v>
      </c>
      <c r="B70" s="5">
        <f>20393.53</f>
        <v>20393.53</v>
      </c>
    </row>
    <row r="71" spans="1:2" x14ac:dyDescent="0.25">
      <c r="A71" s="3" t="s">
        <v>63</v>
      </c>
      <c r="B71" s="5">
        <f>4922.25</f>
        <v>4922.25</v>
      </c>
    </row>
    <row r="72" spans="1:2" x14ac:dyDescent="0.25">
      <c r="A72" s="3" t="s">
        <v>64</v>
      </c>
      <c r="B72" s="5">
        <f>69789.08</f>
        <v>69789.08</v>
      </c>
    </row>
    <row r="73" spans="1:2" x14ac:dyDescent="0.25">
      <c r="A73" s="3" t="s">
        <v>65</v>
      </c>
      <c r="B73" s="5">
        <f>25415</f>
        <v>25415</v>
      </c>
    </row>
    <row r="74" spans="1:2" x14ac:dyDescent="0.25">
      <c r="A74" s="3" t="s">
        <v>66</v>
      </c>
      <c r="B74" s="5">
        <f>25559</f>
        <v>25559</v>
      </c>
    </row>
    <row r="75" spans="1:2" x14ac:dyDescent="0.25">
      <c r="A75" s="3" t="s">
        <v>67</v>
      </c>
      <c r="B75" s="6">
        <f>((B72)+(B73))+(B74)</f>
        <v>120763.08</v>
      </c>
    </row>
    <row r="76" spans="1:2" x14ac:dyDescent="0.25">
      <c r="A76" s="3" t="s">
        <v>68</v>
      </c>
      <c r="B76" s="5">
        <f>118.4</f>
        <v>118.4</v>
      </c>
    </row>
    <row r="77" spans="1:2" x14ac:dyDescent="0.25">
      <c r="A77" s="3" t="s">
        <v>69</v>
      </c>
      <c r="B77" s="5">
        <f>5889.94</f>
        <v>5889.94</v>
      </c>
    </row>
    <row r="78" spans="1:2" x14ac:dyDescent="0.25">
      <c r="A78" s="3" t="s">
        <v>70</v>
      </c>
      <c r="B78" s="5">
        <f>3825</f>
        <v>3825</v>
      </c>
    </row>
    <row r="79" spans="1:2" x14ac:dyDescent="0.25">
      <c r="A79" s="3" t="s">
        <v>71</v>
      </c>
      <c r="B79" s="5">
        <f>5568.63</f>
        <v>5568.63</v>
      </c>
    </row>
    <row r="80" spans="1:2" x14ac:dyDescent="0.25">
      <c r="A80" s="3" t="s">
        <v>72</v>
      </c>
      <c r="B80" s="5">
        <f>51010.79</f>
        <v>51010.79</v>
      </c>
    </row>
    <row r="81" spans="1:2" x14ac:dyDescent="0.25">
      <c r="A81" s="3" t="s">
        <v>73</v>
      </c>
      <c r="B81" s="5">
        <f>31225.68</f>
        <v>31225.68</v>
      </c>
    </row>
    <row r="82" spans="1:2" x14ac:dyDescent="0.25">
      <c r="A82" s="3" t="s">
        <v>74</v>
      </c>
      <c r="B82" s="5">
        <f>67721.65</f>
        <v>67721.649999999994</v>
      </c>
    </row>
    <row r="83" spans="1:2" x14ac:dyDescent="0.25">
      <c r="A83" s="3" t="s">
        <v>75</v>
      </c>
      <c r="B83" s="6">
        <f>(B81)+(B82)</f>
        <v>98947.329999999987</v>
      </c>
    </row>
    <row r="84" spans="1:2" x14ac:dyDescent="0.25">
      <c r="A84" s="3" t="s">
        <v>76</v>
      </c>
      <c r="B84" s="5">
        <f>27085.21</f>
        <v>27085.21</v>
      </c>
    </row>
    <row r="85" spans="1:2" x14ac:dyDescent="0.25">
      <c r="A85" s="3" t="s">
        <v>77</v>
      </c>
      <c r="B85" s="6">
        <f>(((((((((((((((B64)+(B65))+(B66))+(B67))+(B68))+(B69))+(B70))+(B71))+(B75))+(B76))+(B77))+(B78))+(B79))+(B80))+(B83))+(B84)</f>
        <v>406300.58</v>
      </c>
    </row>
    <row r="86" spans="1:2" x14ac:dyDescent="0.25">
      <c r="A86" s="3" t="s">
        <v>78</v>
      </c>
      <c r="B86" s="6">
        <f>((B53)+(B63))+(B85)</f>
        <v>473730.2</v>
      </c>
    </row>
    <row r="87" spans="1:2" x14ac:dyDescent="0.25">
      <c r="A87" s="3" t="s">
        <v>79</v>
      </c>
      <c r="B87" s="6">
        <f>(B43)-(B86)</f>
        <v>-83098.350000000035</v>
      </c>
    </row>
    <row r="88" spans="1:2" x14ac:dyDescent="0.25">
      <c r="A88" s="3" t="s">
        <v>80</v>
      </c>
      <c r="B88" s="4"/>
    </row>
    <row r="89" spans="1:2" x14ac:dyDescent="0.25">
      <c r="A89" s="3" t="s">
        <v>81</v>
      </c>
      <c r="B89" s="5">
        <f>22.29</f>
        <v>22.29</v>
      </c>
    </row>
    <row r="90" spans="1:2" x14ac:dyDescent="0.25">
      <c r="A90" s="3" t="s">
        <v>82</v>
      </c>
      <c r="B90" s="5">
        <f>30785</f>
        <v>30785</v>
      </c>
    </row>
    <row r="91" spans="1:2" x14ac:dyDescent="0.25">
      <c r="A91" s="3" t="s">
        <v>83</v>
      </c>
      <c r="B91" s="5">
        <f>7602.12</f>
        <v>7602.12</v>
      </c>
    </row>
    <row r="92" spans="1:2" x14ac:dyDescent="0.25">
      <c r="A92" s="3" t="s">
        <v>84</v>
      </c>
      <c r="B92" s="6">
        <f>(B90)+(B91)</f>
        <v>38387.120000000003</v>
      </c>
    </row>
    <row r="93" spans="1:2" x14ac:dyDescent="0.25">
      <c r="A93" s="3" t="s">
        <v>85</v>
      </c>
      <c r="B93" s="6">
        <f>(B89)+(B92)</f>
        <v>38409.410000000003</v>
      </c>
    </row>
    <row r="94" spans="1:2" x14ac:dyDescent="0.25">
      <c r="A94" s="3" t="s">
        <v>86</v>
      </c>
      <c r="B94" s="6">
        <f>(B93)-(0)</f>
        <v>38409.410000000003</v>
      </c>
    </row>
    <row r="95" spans="1:2" x14ac:dyDescent="0.25">
      <c r="A95" s="3" t="s">
        <v>87</v>
      </c>
      <c r="B95" s="7">
        <f>(B87)+(B94)</f>
        <v>-44688.940000000031</v>
      </c>
    </row>
    <row r="96" spans="1:2" x14ac:dyDescent="0.25">
      <c r="A96" s="3"/>
      <c r="B96" s="4"/>
    </row>
    <row r="99" spans="1:2" x14ac:dyDescent="0.25">
      <c r="A99" s="34" t="s">
        <v>88</v>
      </c>
      <c r="B99" s="35"/>
    </row>
  </sheetData>
  <mergeCells count="4">
    <mergeCell ref="A99:B99"/>
    <mergeCell ref="A1:B1"/>
    <mergeCell ref="A2:B2"/>
    <mergeCell ref="A3:B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9A3336-E813-4955-8F8C-9C5AFEA11C79}">
  <dimension ref="A1:B66"/>
  <sheetViews>
    <sheetView workbookViewId="0">
      <selection activeCell="D8" sqref="D8"/>
    </sheetView>
  </sheetViews>
  <sheetFormatPr defaultRowHeight="15" x14ac:dyDescent="0.25"/>
  <cols>
    <col min="1" max="2" width="32.7109375" customWidth="1"/>
  </cols>
  <sheetData>
    <row r="1" spans="1:2" ht="18" x14ac:dyDescent="0.25">
      <c r="A1" s="36" t="s">
        <v>89</v>
      </c>
      <c r="B1" s="35"/>
    </row>
    <row r="2" spans="1:2" ht="18" x14ac:dyDescent="0.25">
      <c r="A2" s="36" t="s">
        <v>90</v>
      </c>
      <c r="B2" s="35"/>
    </row>
    <row r="3" spans="1:2" x14ac:dyDescent="0.25">
      <c r="A3" s="37" t="s">
        <v>92</v>
      </c>
      <c r="B3" s="35"/>
    </row>
    <row r="5" spans="1:2" x14ac:dyDescent="0.25">
      <c r="A5" s="1"/>
      <c r="B5" s="2" t="s">
        <v>0</v>
      </c>
    </row>
    <row r="6" spans="1:2" x14ac:dyDescent="0.25">
      <c r="A6" s="3" t="s">
        <v>1</v>
      </c>
      <c r="B6" s="4"/>
    </row>
    <row r="7" spans="1:2" x14ac:dyDescent="0.25">
      <c r="A7" s="3" t="s">
        <v>2</v>
      </c>
      <c r="B7" s="4"/>
    </row>
    <row r="8" spans="1:2" x14ac:dyDescent="0.25">
      <c r="A8" s="3" t="s">
        <v>3</v>
      </c>
      <c r="B8" s="5">
        <f>2185.2</f>
        <v>2185.1999999999998</v>
      </c>
    </row>
    <row r="9" spans="1:2" x14ac:dyDescent="0.25">
      <c r="A9" s="3" t="s">
        <v>4</v>
      </c>
      <c r="B9" s="5">
        <f>443.93</f>
        <v>443.93</v>
      </c>
    </row>
    <row r="10" spans="1:2" x14ac:dyDescent="0.25">
      <c r="A10" s="3" t="s">
        <v>5</v>
      </c>
      <c r="B10" s="7">
        <f>((B7)+(B8))+(B9)</f>
        <v>2629.1299999999997</v>
      </c>
    </row>
    <row r="11" spans="1:2" x14ac:dyDescent="0.25">
      <c r="A11" s="3" t="s">
        <v>6</v>
      </c>
      <c r="B11" s="5">
        <f>3527</f>
        <v>3527</v>
      </c>
    </row>
    <row r="12" spans="1:2" x14ac:dyDescent="0.25">
      <c r="A12" s="3" t="s">
        <v>8</v>
      </c>
      <c r="B12" s="5">
        <f>315</f>
        <v>315</v>
      </c>
    </row>
    <row r="13" spans="1:2" x14ac:dyDescent="0.25">
      <c r="A13" s="3" t="s">
        <v>10</v>
      </c>
      <c r="B13" s="5">
        <f>5360</f>
        <v>5360</v>
      </c>
    </row>
    <row r="14" spans="1:2" x14ac:dyDescent="0.25">
      <c r="A14" s="3" t="s">
        <v>13</v>
      </c>
      <c r="B14" s="5">
        <f>525</f>
        <v>525</v>
      </c>
    </row>
    <row r="15" spans="1:2" x14ac:dyDescent="0.25">
      <c r="A15" s="3" t="s">
        <v>14</v>
      </c>
      <c r="B15" s="4"/>
    </row>
    <row r="16" spans="1:2" x14ac:dyDescent="0.25">
      <c r="A16" s="3" t="s">
        <v>15</v>
      </c>
      <c r="B16" s="5">
        <f>913.33</f>
        <v>913.33</v>
      </c>
    </row>
    <row r="17" spans="1:2" x14ac:dyDescent="0.25">
      <c r="A17" s="3" t="s">
        <v>17</v>
      </c>
      <c r="B17" s="5">
        <f>127.5</f>
        <v>127.5</v>
      </c>
    </row>
    <row r="18" spans="1:2" x14ac:dyDescent="0.25">
      <c r="A18" s="3" t="s">
        <v>18</v>
      </c>
      <c r="B18" s="7">
        <f>((B15)+(B16))+(B17)</f>
        <v>1040.83</v>
      </c>
    </row>
    <row r="19" spans="1:2" x14ac:dyDescent="0.25">
      <c r="A19" s="3" t="s">
        <v>19</v>
      </c>
      <c r="B19" s="5">
        <f>5637.95</f>
        <v>5637.95</v>
      </c>
    </row>
    <row r="20" spans="1:2" x14ac:dyDescent="0.25">
      <c r="A20" s="3" t="s">
        <v>20</v>
      </c>
      <c r="B20" s="5">
        <f>1432</f>
        <v>1432</v>
      </c>
    </row>
    <row r="21" spans="1:2" x14ac:dyDescent="0.25">
      <c r="A21" s="3" t="s">
        <v>22</v>
      </c>
      <c r="B21" s="5">
        <f>877.15</f>
        <v>877.15</v>
      </c>
    </row>
    <row r="22" spans="1:2" x14ac:dyDescent="0.25">
      <c r="A22" s="3" t="s">
        <v>27</v>
      </c>
      <c r="B22" s="5">
        <f>697.41</f>
        <v>697.41</v>
      </c>
    </row>
    <row r="23" spans="1:2" x14ac:dyDescent="0.25">
      <c r="A23" s="3" t="s">
        <v>28</v>
      </c>
      <c r="B23" s="7">
        <f>(B21)+(B22)</f>
        <v>1574.56</v>
      </c>
    </row>
    <row r="24" spans="1:2" x14ac:dyDescent="0.25">
      <c r="A24" s="3" t="s">
        <v>32</v>
      </c>
      <c r="B24" s="7">
        <f>(((((((B11)+(B12))+(B13))+(B14))+(B18))+(B19))+(B20))+(B23)</f>
        <v>19412.34</v>
      </c>
    </row>
    <row r="25" spans="1:2" x14ac:dyDescent="0.25">
      <c r="A25" s="3" t="s">
        <v>33</v>
      </c>
      <c r="B25" s="5">
        <f>1350</f>
        <v>1350</v>
      </c>
    </row>
    <row r="26" spans="1:2" x14ac:dyDescent="0.25">
      <c r="A26" s="3" t="s">
        <v>36</v>
      </c>
      <c r="B26" s="7">
        <f>((B10)+(B24))+(B25)</f>
        <v>23391.47</v>
      </c>
    </row>
    <row r="27" spans="1:2" x14ac:dyDescent="0.25">
      <c r="A27" s="3" t="s">
        <v>37</v>
      </c>
      <c r="B27" s="7">
        <f>(B26)-(0)</f>
        <v>23391.47</v>
      </c>
    </row>
    <row r="28" spans="1:2" x14ac:dyDescent="0.25">
      <c r="A28" s="3" t="s">
        <v>38</v>
      </c>
      <c r="B28" s="4"/>
    </row>
    <row r="29" spans="1:2" x14ac:dyDescent="0.25">
      <c r="A29" s="3" t="s">
        <v>39</v>
      </c>
      <c r="B29" s="4"/>
    </row>
    <row r="30" spans="1:2" x14ac:dyDescent="0.25">
      <c r="A30" s="3" t="s">
        <v>45</v>
      </c>
      <c r="B30" s="5">
        <f>99</f>
        <v>99</v>
      </c>
    </row>
    <row r="31" spans="1:2" x14ac:dyDescent="0.25">
      <c r="A31" s="3" t="s">
        <v>46</v>
      </c>
      <c r="B31" s="5">
        <f>2099</f>
        <v>2099</v>
      </c>
    </row>
    <row r="32" spans="1:2" x14ac:dyDescent="0.25">
      <c r="A32" s="3" t="s">
        <v>47</v>
      </c>
      <c r="B32" s="7">
        <f>((B29)+(B30))+(B31)</f>
        <v>2198</v>
      </c>
    </row>
    <row r="33" spans="1:2" x14ac:dyDescent="0.25">
      <c r="A33" s="3" t="s">
        <v>48</v>
      </c>
      <c r="B33" s="5">
        <f>973.85</f>
        <v>973.85</v>
      </c>
    </row>
    <row r="34" spans="1:2" x14ac:dyDescent="0.25">
      <c r="A34" s="3" t="s">
        <v>50</v>
      </c>
      <c r="B34" s="5">
        <f>307.1</f>
        <v>307.10000000000002</v>
      </c>
    </row>
    <row r="35" spans="1:2" x14ac:dyDescent="0.25">
      <c r="A35" s="3" t="s">
        <v>52</v>
      </c>
      <c r="B35" s="5">
        <f>14723.89</f>
        <v>14723.89</v>
      </c>
    </row>
    <row r="36" spans="1:2" x14ac:dyDescent="0.25">
      <c r="A36" s="3" t="s">
        <v>20</v>
      </c>
      <c r="B36" s="5">
        <f>2054.59</f>
        <v>2054.59</v>
      </c>
    </row>
    <row r="37" spans="1:2" x14ac:dyDescent="0.25">
      <c r="A37" s="3" t="s">
        <v>55</v>
      </c>
      <c r="B37" s="7">
        <f>(((B33)+(B34))+(B35))+(B36)</f>
        <v>18059.43</v>
      </c>
    </row>
    <row r="38" spans="1:2" x14ac:dyDescent="0.25">
      <c r="A38" s="3" t="s">
        <v>56</v>
      </c>
      <c r="B38" s="4"/>
    </row>
    <row r="39" spans="1:2" x14ac:dyDescent="0.25">
      <c r="A39" s="3" t="s">
        <v>57</v>
      </c>
      <c r="B39" s="5">
        <f>1299</f>
        <v>1299</v>
      </c>
    </row>
    <row r="40" spans="1:2" x14ac:dyDescent="0.25">
      <c r="A40" s="3" t="s">
        <v>59</v>
      </c>
      <c r="B40" s="5">
        <f>-190</f>
        <v>-190</v>
      </c>
    </row>
    <row r="41" spans="1:2" x14ac:dyDescent="0.25">
      <c r="A41" s="3" t="s">
        <v>60</v>
      </c>
      <c r="B41" s="5">
        <f>60</f>
        <v>60</v>
      </c>
    </row>
    <row r="42" spans="1:2" x14ac:dyDescent="0.25">
      <c r="A42" s="3" t="s">
        <v>62</v>
      </c>
      <c r="B42" s="5">
        <f>6184.9</f>
        <v>6184.9</v>
      </c>
    </row>
    <row r="43" spans="1:2" x14ac:dyDescent="0.25">
      <c r="A43" s="3" t="s">
        <v>63</v>
      </c>
      <c r="B43" s="5">
        <f>1265.01</f>
        <v>1265.01</v>
      </c>
    </row>
    <row r="44" spans="1:2" x14ac:dyDescent="0.25">
      <c r="A44" s="3" t="s">
        <v>64</v>
      </c>
      <c r="B44" s="5">
        <f>67023.22</f>
        <v>67023.22</v>
      </c>
    </row>
    <row r="45" spans="1:2" x14ac:dyDescent="0.25">
      <c r="A45" s="3" t="s">
        <v>69</v>
      </c>
      <c r="B45" s="5">
        <f>1069.93</f>
        <v>1069.93</v>
      </c>
    </row>
    <row r="46" spans="1:2" x14ac:dyDescent="0.25">
      <c r="A46" s="3" t="s">
        <v>71</v>
      </c>
      <c r="B46" s="5">
        <f>89.54</f>
        <v>89.54</v>
      </c>
    </row>
    <row r="47" spans="1:2" x14ac:dyDescent="0.25">
      <c r="A47" s="3" t="s">
        <v>72</v>
      </c>
      <c r="B47" s="5">
        <f>312.58</f>
        <v>312.58</v>
      </c>
    </row>
    <row r="48" spans="1:2" x14ac:dyDescent="0.25">
      <c r="A48" s="3" t="s">
        <v>73</v>
      </c>
      <c r="B48" s="5">
        <f>772.57</f>
        <v>772.57</v>
      </c>
    </row>
    <row r="49" spans="1:2" x14ac:dyDescent="0.25">
      <c r="A49" s="3" t="s">
        <v>74</v>
      </c>
      <c r="B49" s="5">
        <f>1924.69</f>
        <v>1924.69</v>
      </c>
    </row>
    <row r="50" spans="1:2" x14ac:dyDescent="0.25">
      <c r="A50" s="3" t="s">
        <v>75</v>
      </c>
      <c r="B50" s="7">
        <f>(B48)+(B49)</f>
        <v>2697.26</v>
      </c>
    </row>
    <row r="51" spans="1:2" x14ac:dyDescent="0.25">
      <c r="A51" s="3" t="s">
        <v>76</v>
      </c>
      <c r="B51" s="5">
        <f>729</f>
        <v>729</v>
      </c>
    </row>
    <row r="52" spans="1:2" x14ac:dyDescent="0.25">
      <c r="A52" s="3" t="s">
        <v>77</v>
      </c>
      <c r="B52" s="7">
        <f>(((((((((((B38)+(B39))+(B40))+(B41))+(B42))+(B43))+(B44))+(B45))+(B46))+(B47))+(B50))+(B51)</f>
        <v>80540.439999999988</v>
      </c>
    </row>
    <row r="53" spans="1:2" x14ac:dyDescent="0.25">
      <c r="A53" s="3" t="s">
        <v>78</v>
      </c>
      <c r="B53" s="7">
        <f>((B32)+(B37))+(B52)</f>
        <v>100797.87</v>
      </c>
    </row>
    <row r="54" spans="1:2" x14ac:dyDescent="0.25">
      <c r="A54" s="3" t="s">
        <v>79</v>
      </c>
      <c r="B54" s="7">
        <f>(B27)-(B53)</f>
        <v>-77406.399999999994</v>
      </c>
    </row>
    <row r="55" spans="1:2" x14ac:dyDescent="0.25">
      <c r="A55" s="3" t="s">
        <v>80</v>
      </c>
      <c r="B55" s="4"/>
    </row>
    <row r="56" spans="1:2" x14ac:dyDescent="0.25">
      <c r="A56" s="3" t="s">
        <v>81</v>
      </c>
      <c r="B56" s="5">
        <f>1.14</f>
        <v>1.1399999999999999</v>
      </c>
    </row>
    <row r="57" spans="1:2" x14ac:dyDescent="0.25">
      <c r="A57" s="3" t="s">
        <v>82</v>
      </c>
      <c r="B57" s="4"/>
    </row>
    <row r="58" spans="1:2" x14ac:dyDescent="0.25">
      <c r="A58" s="3" t="s">
        <v>83</v>
      </c>
      <c r="B58" s="5">
        <f>1923</f>
        <v>1923</v>
      </c>
    </row>
    <row r="59" spans="1:2" x14ac:dyDescent="0.25">
      <c r="A59" s="3" t="s">
        <v>84</v>
      </c>
      <c r="B59" s="7">
        <f>(B57)+(B58)</f>
        <v>1923</v>
      </c>
    </row>
    <row r="60" spans="1:2" x14ac:dyDescent="0.25">
      <c r="A60" s="3" t="s">
        <v>85</v>
      </c>
      <c r="B60" s="7">
        <f>(B56)+(B59)</f>
        <v>1924.14</v>
      </c>
    </row>
    <row r="61" spans="1:2" x14ac:dyDescent="0.25">
      <c r="A61" s="3" t="s">
        <v>86</v>
      </c>
      <c r="B61" s="7">
        <f>(B60)-(0)</f>
        <v>1924.14</v>
      </c>
    </row>
    <row r="62" spans="1:2" x14ac:dyDescent="0.25">
      <c r="A62" s="3" t="s">
        <v>87</v>
      </c>
      <c r="B62" s="7">
        <f>(B54)+(B61)</f>
        <v>-75482.259999999995</v>
      </c>
    </row>
    <row r="63" spans="1:2" x14ac:dyDescent="0.25">
      <c r="A63" s="3"/>
      <c r="B63" s="4"/>
    </row>
    <row r="66" spans="1:2" x14ac:dyDescent="0.25">
      <c r="A66" s="34" t="s">
        <v>93</v>
      </c>
      <c r="B66" s="35"/>
    </row>
  </sheetData>
  <mergeCells count="4">
    <mergeCell ref="A1:B1"/>
    <mergeCell ref="A2:B2"/>
    <mergeCell ref="A3:B3"/>
    <mergeCell ref="A66:B6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2873D-79F1-41EC-AB1E-52E0D76CFF86}">
  <dimension ref="A1:AB67"/>
  <sheetViews>
    <sheetView workbookViewId="0">
      <pane xSplit="1" ySplit="5" topLeftCell="B60" activePane="bottomRight" state="frozen"/>
      <selection pane="topRight" activeCell="B1" sqref="B1"/>
      <selection pane="bottomLeft" activeCell="A6" sqref="A6"/>
      <selection pane="bottomRight" activeCell="F72" sqref="F72"/>
    </sheetView>
  </sheetViews>
  <sheetFormatPr defaultRowHeight="15" x14ac:dyDescent="0.25"/>
  <cols>
    <col min="1" max="1" width="30.85546875" customWidth="1"/>
    <col min="2" max="11" width="12.5703125" customWidth="1"/>
    <col min="12" max="19" width="11.7109375" customWidth="1"/>
    <col min="20" max="28" width="12" customWidth="1"/>
  </cols>
  <sheetData>
    <row r="1" spans="1:28" ht="18" x14ac:dyDescent="0.25">
      <c r="A1" s="36" t="s">
        <v>89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</row>
    <row r="2" spans="1:28" ht="18" x14ac:dyDescent="0.25">
      <c r="A2" s="36" t="s">
        <v>90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</row>
    <row r="3" spans="1:28" x14ac:dyDescent="0.25">
      <c r="A3" s="37" t="s">
        <v>92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</row>
    <row r="5" spans="1:28" ht="36.75" x14ac:dyDescent="0.25">
      <c r="A5" s="1"/>
      <c r="B5" s="2" t="s">
        <v>94</v>
      </c>
      <c r="C5" s="2" t="s">
        <v>95</v>
      </c>
      <c r="D5" s="2" t="s">
        <v>96</v>
      </c>
      <c r="E5" s="2" t="s">
        <v>97</v>
      </c>
      <c r="F5" s="2" t="s">
        <v>98</v>
      </c>
      <c r="G5" s="2" t="s">
        <v>99</v>
      </c>
      <c r="H5" s="2" t="s">
        <v>100</v>
      </c>
      <c r="I5" s="2" t="s">
        <v>101</v>
      </c>
      <c r="J5" s="2" t="s">
        <v>102</v>
      </c>
      <c r="K5" s="2" t="s">
        <v>103</v>
      </c>
      <c r="L5" s="2" t="s">
        <v>104</v>
      </c>
      <c r="M5" s="2" t="s">
        <v>105</v>
      </c>
      <c r="N5" s="2" t="s">
        <v>106</v>
      </c>
      <c r="O5" s="2" t="s">
        <v>107</v>
      </c>
      <c r="P5" s="2" t="s">
        <v>108</v>
      </c>
      <c r="Q5" s="2" t="s">
        <v>109</v>
      </c>
      <c r="R5" s="2" t="s">
        <v>110</v>
      </c>
      <c r="S5" s="2" t="s">
        <v>111</v>
      </c>
      <c r="T5" s="2" t="s">
        <v>112</v>
      </c>
      <c r="U5" s="2" t="s">
        <v>113</v>
      </c>
      <c r="V5" s="2" t="s">
        <v>114</v>
      </c>
      <c r="W5" s="2" t="s">
        <v>115</v>
      </c>
      <c r="X5" s="2" t="s">
        <v>116</v>
      </c>
      <c r="Y5" s="2" t="s">
        <v>117</v>
      </c>
      <c r="Z5" s="2" t="s">
        <v>118</v>
      </c>
      <c r="AA5" s="2" t="s">
        <v>119</v>
      </c>
      <c r="AB5" s="2" t="s">
        <v>120</v>
      </c>
    </row>
    <row r="6" spans="1:28" x14ac:dyDescent="0.25">
      <c r="A6" s="3" t="s">
        <v>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x14ac:dyDescent="0.25">
      <c r="A7" s="3" t="s">
        <v>2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5">
        <f t="shared" ref="V7:V27" si="0">(T7)+(U7)</f>
        <v>0</v>
      </c>
      <c r="W7" s="4"/>
      <c r="X7" s="4"/>
      <c r="Y7" s="4"/>
      <c r="Z7" s="4"/>
      <c r="AA7" s="4"/>
      <c r="AB7" s="5">
        <f t="shared" ref="AB7:AB27" si="1">(((((((((((((((((((((((B7)+(C7))+(D7))+(E7))+(F7))+(G7))+(H7))+(I7))+(J7))+(K7))+(L7))+(M7))+(N7))+(O7))+(P7))+(Q7))+(R7))+(S7))+(V7))+(W7))+(X7))+(Y7))+(Z7))+(AA7)</f>
        <v>0</v>
      </c>
    </row>
    <row r="8" spans="1:28" x14ac:dyDescent="0.25">
      <c r="A8" s="3" t="s">
        <v>3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5">
        <f>342.6</f>
        <v>342.6</v>
      </c>
      <c r="O8" s="5">
        <f>300</f>
        <v>300</v>
      </c>
      <c r="P8" s="5">
        <f>242.6</f>
        <v>242.6</v>
      </c>
      <c r="Q8" s="5">
        <f>1300</f>
        <v>1300</v>
      </c>
      <c r="R8" s="4"/>
      <c r="S8" s="4"/>
      <c r="T8" s="4"/>
      <c r="U8" s="4"/>
      <c r="V8" s="5">
        <f t="shared" si="0"/>
        <v>0</v>
      </c>
      <c r="W8" s="4"/>
      <c r="X8" s="4"/>
      <c r="Y8" s="4"/>
      <c r="Z8" s="4"/>
      <c r="AA8" s="4"/>
      <c r="AB8" s="5">
        <f t="shared" si="1"/>
        <v>2185.1999999999998</v>
      </c>
    </row>
    <row r="9" spans="1:28" x14ac:dyDescent="0.25">
      <c r="A9" s="3" t="s">
        <v>4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5">
        <f>96.81</f>
        <v>96.81</v>
      </c>
      <c r="V9" s="5">
        <f t="shared" si="0"/>
        <v>96.81</v>
      </c>
      <c r="W9" s="4"/>
      <c r="X9" s="4"/>
      <c r="Y9" s="4"/>
      <c r="Z9" s="4"/>
      <c r="AA9" s="5">
        <f>347.12</f>
        <v>347.12</v>
      </c>
      <c r="AB9" s="5">
        <f t="shared" si="1"/>
        <v>443.93</v>
      </c>
    </row>
    <row r="10" spans="1:28" x14ac:dyDescent="0.25">
      <c r="A10" s="3" t="s">
        <v>5</v>
      </c>
      <c r="B10" s="7">
        <f t="shared" ref="B10:U10" si="2">((B7)+(B8))+(B9)</f>
        <v>0</v>
      </c>
      <c r="C10" s="7">
        <f t="shared" si="2"/>
        <v>0</v>
      </c>
      <c r="D10" s="7">
        <f t="shared" si="2"/>
        <v>0</v>
      </c>
      <c r="E10" s="7">
        <f t="shared" si="2"/>
        <v>0</v>
      </c>
      <c r="F10" s="7">
        <f t="shared" si="2"/>
        <v>0</v>
      </c>
      <c r="G10" s="7">
        <f t="shared" si="2"/>
        <v>0</v>
      </c>
      <c r="H10" s="7">
        <f t="shared" si="2"/>
        <v>0</v>
      </c>
      <c r="I10" s="7">
        <f t="shared" si="2"/>
        <v>0</v>
      </c>
      <c r="J10" s="7">
        <f t="shared" si="2"/>
        <v>0</v>
      </c>
      <c r="K10" s="7">
        <f t="shared" si="2"/>
        <v>0</v>
      </c>
      <c r="L10" s="7">
        <f t="shared" si="2"/>
        <v>0</v>
      </c>
      <c r="M10" s="7">
        <f t="shared" si="2"/>
        <v>0</v>
      </c>
      <c r="N10" s="7">
        <f t="shared" si="2"/>
        <v>342.6</v>
      </c>
      <c r="O10" s="7">
        <f t="shared" si="2"/>
        <v>300</v>
      </c>
      <c r="P10" s="7">
        <f t="shared" si="2"/>
        <v>242.6</v>
      </c>
      <c r="Q10" s="7">
        <f t="shared" si="2"/>
        <v>1300</v>
      </c>
      <c r="R10" s="7">
        <f t="shared" si="2"/>
        <v>0</v>
      </c>
      <c r="S10" s="7">
        <f t="shared" si="2"/>
        <v>0</v>
      </c>
      <c r="T10" s="7">
        <f t="shared" si="2"/>
        <v>0</v>
      </c>
      <c r="U10" s="7">
        <f t="shared" si="2"/>
        <v>96.81</v>
      </c>
      <c r="V10" s="7">
        <f t="shared" si="0"/>
        <v>96.81</v>
      </c>
      <c r="W10" s="7">
        <f>((W7)+(W8))+(W9)</f>
        <v>0</v>
      </c>
      <c r="X10" s="7">
        <f>((X7)+(X8))+(X9)</f>
        <v>0</v>
      </c>
      <c r="Y10" s="7">
        <f>((Y7)+(Y8))+(Y9)</f>
        <v>0</v>
      </c>
      <c r="Z10" s="7">
        <f>((Z7)+(Z8))+(Z9)</f>
        <v>0</v>
      </c>
      <c r="AA10" s="7">
        <f>((AA7)+(AA8))+(AA9)</f>
        <v>347.12</v>
      </c>
      <c r="AB10" s="7">
        <f t="shared" si="1"/>
        <v>2629.1299999999997</v>
      </c>
    </row>
    <row r="11" spans="1:28" x14ac:dyDescent="0.25">
      <c r="A11" s="3" t="s">
        <v>6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5">
        <f>3177</f>
        <v>3177</v>
      </c>
      <c r="M11" s="4"/>
      <c r="N11" s="4"/>
      <c r="O11" s="5">
        <f>350</f>
        <v>350</v>
      </c>
      <c r="P11" s="4"/>
      <c r="Q11" s="4"/>
      <c r="R11" s="4"/>
      <c r="S11" s="4"/>
      <c r="T11" s="4"/>
      <c r="U11" s="4"/>
      <c r="V11" s="5">
        <f t="shared" si="0"/>
        <v>0</v>
      </c>
      <c r="W11" s="4"/>
      <c r="X11" s="4"/>
      <c r="Y11" s="4"/>
      <c r="Z11" s="4"/>
      <c r="AA11" s="4"/>
      <c r="AB11" s="5">
        <f t="shared" si="1"/>
        <v>3527</v>
      </c>
    </row>
    <row r="12" spans="1:28" x14ac:dyDescent="0.25">
      <c r="A12" s="3" t="s">
        <v>8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5">
        <f>315</f>
        <v>315</v>
      </c>
      <c r="M12" s="4"/>
      <c r="N12" s="4"/>
      <c r="O12" s="4"/>
      <c r="P12" s="4"/>
      <c r="Q12" s="4"/>
      <c r="R12" s="4"/>
      <c r="S12" s="4"/>
      <c r="T12" s="4"/>
      <c r="U12" s="4"/>
      <c r="V12" s="5">
        <f t="shared" si="0"/>
        <v>0</v>
      </c>
      <c r="W12" s="4"/>
      <c r="X12" s="4"/>
      <c r="Y12" s="4"/>
      <c r="Z12" s="4"/>
      <c r="AA12" s="4"/>
      <c r="AB12" s="5">
        <f t="shared" si="1"/>
        <v>315</v>
      </c>
    </row>
    <row r="13" spans="1:28" x14ac:dyDescent="0.25">
      <c r="A13" s="3" t="s">
        <v>10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5">
        <f t="shared" si="0"/>
        <v>0</v>
      </c>
      <c r="W13" s="4"/>
      <c r="X13" s="4"/>
      <c r="Y13" s="4"/>
      <c r="Z13" s="4"/>
      <c r="AA13" s="5">
        <f>5360</f>
        <v>5360</v>
      </c>
      <c r="AB13" s="5">
        <f t="shared" si="1"/>
        <v>5360</v>
      </c>
    </row>
    <row r="14" spans="1:28" x14ac:dyDescent="0.25">
      <c r="A14" s="3" t="s">
        <v>13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5">
        <f>525</f>
        <v>525</v>
      </c>
      <c r="V14" s="5">
        <f t="shared" si="0"/>
        <v>525</v>
      </c>
      <c r="W14" s="4"/>
      <c r="X14" s="4"/>
      <c r="Y14" s="4"/>
      <c r="Z14" s="4"/>
      <c r="AA14" s="4"/>
      <c r="AB14" s="5">
        <f t="shared" si="1"/>
        <v>525</v>
      </c>
    </row>
    <row r="15" spans="1:28" x14ac:dyDescent="0.25">
      <c r="A15" s="3" t="s">
        <v>14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5">
        <f t="shared" si="0"/>
        <v>0</v>
      </c>
      <c r="W15" s="4"/>
      <c r="X15" s="4"/>
      <c r="Y15" s="4"/>
      <c r="Z15" s="4"/>
      <c r="AA15" s="4"/>
      <c r="AB15" s="5">
        <f t="shared" si="1"/>
        <v>0</v>
      </c>
    </row>
    <row r="16" spans="1:28" x14ac:dyDescent="0.25">
      <c r="A16" s="3" t="s">
        <v>15</v>
      </c>
      <c r="B16" s="4"/>
      <c r="C16" s="4"/>
      <c r="D16" s="5">
        <f>913.33</f>
        <v>913.33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5">
        <f t="shared" si="0"/>
        <v>0</v>
      </c>
      <c r="W16" s="4"/>
      <c r="X16" s="4"/>
      <c r="Y16" s="4"/>
      <c r="Z16" s="4"/>
      <c r="AA16" s="4"/>
      <c r="AB16" s="5">
        <f t="shared" si="1"/>
        <v>913.33</v>
      </c>
    </row>
    <row r="17" spans="1:28" x14ac:dyDescent="0.25">
      <c r="A17" s="3" t="s">
        <v>17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5">
        <f t="shared" si="0"/>
        <v>0</v>
      </c>
      <c r="W17" s="4"/>
      <c r="X17" s="4"/>
      <c r="Y17" s="5">
        <f>127.5</f>
        <v>127.5</v>
      </c>
      <c r="Z17" s="4"/>
      <c r="AA17" s="4"/>
      <c r="AB17" s="5">
        <f t="shared" si="1"/>
        <v>127.5</v>
      </c>
    </row>
    <row r="18" spans="1:28" x14ac:dyDescent="0.25">
      <c r="A18" s="3" t="s">
        <v>18</v>
      </c>
      <c r="B18" s="7">
        <f t="shared" ref="B18:U18" si="3">((B15)+(B16))+(B17)</f>
        <v>0</v>
      </c>
      <c r="C18" s="7">
        <f t="shared" si="3"/>
        <v>0</v>
      </c>
      <c r="D18" s="7">
        <f t="shared" si="3"/>
        <v>913.33</v>
      </c>
      <c r="E18" s="7">
        <f t="shared" si="3"/>
        <v>0</v>
      </c>
      <c r="F18" s="7">
        <f t="shared" si="3"/>
        <v>0</v>
      </c>
      <c r="G18" s="7">
        <f t="shared" si="3"/>
        <v>0</v>
      </c>
      <c r="H18" s="7">
        <f t="shared" si="3"/>
        <v>0</v>
      </c>
      <c r="I18" s="7">
        <f t="shared" si="3"/>
        <v>0</v>
      </c>
      <c r="J18" s="7">
        <f t="shared" si="3"/>
        <v>0</v>
      </c>
      <c r="K18" s="7">
        <f t="shared" si="3"/>
        <v>0</v>
      </c>
      <c r="L18" s="7">
        <f t="shared" si="3"/>
        <v>0</v>
      </c>
      <c r="M18" s="7">
        <f t="shared" si="3"/>
        <v>0</v>
      </c>
      <c r="N18" s="7">
        <f t="shared" si="3"/>
        <v>0</v>
      </c>
      <c r="O18" s="7">
        <f t="shared" si="3"/>
        <v>0</v>
      </c>
      <c r="P18" s="7">
        <f t="shared" si="3"/>
        <v>0</v>
      </c>
      <c r="Q18" s="7">
        <f t="shared" si="3"/>
        <v>0</v>
      </c>
      <c r="R18" s="7">
        <f t="shared" si="3"/>
        <v>0</v>
      </c>
      <c r="S18" s="7">
        <f t="shared" si="3"/>
        <v>0</v>
      </c>
      <c r="T18" s="7">
        <f t="shared" si="3"/>
        <v>0</v>
      </c>
      <c r="U18" s="7">
        <f t="shared" si="3"/>
        <v>0</v>
      </c>
      <c r="V18" s="7">
        <f t="shared" si="0"/>
        <v>0</v>
      </c>
      <c r="W18" s="7">
        <f>((W15)+(W16))+(W17)</f>
        <v>0</v>
      </c>
      <c r="X18" s="7">
        <f>((X15)+(X16))+(X17)</f>
        <v>0</v>
      </c>
      <c r="Y18" s="7">
        <f>((Y15)+(Y16))+(Y17)</f>
        <v>127.5</v>
      </c>
      <c r="Z18" s="7">
        <f>((Z15)+(Z16))+(Z17)</f>
        <v>0</v>
      </c>
      <c r="AA18" s="7">
        <f>((AA15)+(AA16))+(AA17)</f>
        <v>0</v>
      </c>
      <c r="AB18" s="7">
        <f t="shared" si="1"/>
        <v>1040.83</v>
      </c>
    </row>
    <row r="19" spans="1:28" x14ac:dyDescent="0.25">
      <c r="A19" s="3" t="s">
        <v>19</v>
      </c>
      <c r="B19" s="4"/>
      <c r="C19" s="4"/>
      <c r="D19" s="5">
        <f>180</f>
        <v>180</v>
      </c>
      <c r="E19" s="4"/>
      <c r="F19" s="4"/>
      <c r="G19" s="4"/>
      <c r="H19" s="4"/>
      <c r="I19" s="5">
        <f>520</f>
        <v>520</v>
      </c>
      <c r="J19" s="5">
        <f>520</f>
        <v>520</v>
      </c>
      <c r="K19" s="4"/>
      <c r="L19" s="5">
        <f>911</f>
        <v>911</v>
      </c>
      <c r="M19" s="4"/>
      <c r="N19" s="4"/>
      <c r="O19" s="4"/>
      <c r="P19" s="4"/>
      <c r="Q19" s="4"/>
      <c r="R19" s="5">
        <f>530</f>
        <v>530</v>
      </c>
      <c r="S19" s="4"/>
      <c r="T19" s="4"/>
      <c r="U19" s="5">
        <f>2976.95</f>
        <v>2976.95</v>
      </c>
      <c r="V19" s="5">
        <f t="shared" si="0"/>
        <v>2976.95</v>
      </c>
      <c r="W19" s="4"/>
      <c r="X19" s="4"/>
      <c r="Y19" s="4"/>
      <c r="Z19" s="4"/>
      <c r="AA19" s="4"/>
      <c r="AB19" s="5">
        <f t="shared" si="1"/>
        <v>5637.95</v>
      </c>
    </row>
    <row r="20" spans="1:28" x14ac:dyDescent="0.25">
      <c r="A20" s="3" t="s">
        <v>20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5">
        <f>1432</f>
        <v>1432</v>
      </c>
      <c r="V20" s="5">
        <f t="shared" si="0"/>
        <v>1432</v>
      </c>
      <c r="W20" s="4"/>
      <c r="X20" s="4"/>
      <c r="Y20" s="4"/>
      <c r="Z20" s="4"/>
      <c r="AA20" s="4"/>
      <c r="AB20" s="5">
        <f t="shared" si="1"/>
        <v>1432</v>
      </c>
    </row>
    <row r="21" spans="1:28" x14ac:dyDescent="0.25">
      <c r="A21" s="3" t="s">
        <v>22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5">
        <f>877.15</f>
        <v>877.15</v>
      </c>
      <c r="Q21" s="4"/>
      <c r="R21" s="4"/>
      <c r="S21" s="4"/>
      <c r="T21" s="4"/>
      <c r="U21" s="4"/>
      <c r="V21" s="5">
        <f t="shared" si="0"/>
        <v>0</v>
      </c>
      <c r="W21" s="4"/>
      <c r="X21" s="4"/>
      <c r="Y21" s="4"/>
      <c r="Z21" s="4"/>
      <c r="AA21" s="4"/>
      <c r="AB21" s="5">
        <f t="shared" si="1"/>
        <v>877.15</v>
      </c>
    </row>
    <row r="22" spans="1:28" x14ac:dyDescent="0.25">
      <c r="A22" s="3" t="s">
        <v>27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5">
        <f t="shared" si="0"/>
        <v>0</v>
      </c>
      <c r="W22" s="5">
        <f>697.41</f>
        <v>697.41</v>
      </c>
      <c r="X22" s="4"/>
      <c r="Y22" s="4"/>
      <c r="Z22" s="4"/>
      <c r="AA22" s="4"/>
      <c r="AB22" s="5">
        <f t="shared" si="1"/>
        <v>697.41</v>
      </c>
    </row>
    <row r="23" spans="1:28" x14ac:dyDescent="0.25">
      <c r="A23" s="3" t="s">
        <v>28</v>
      </c>
      <c r="B23" s="7">
        <f t="shared" ref="B23:U23" si="4">(B21)+(B22)</f>
        <v>0</v>
      </c>
      <c r="C23" s="7">
        <f t="shared" si="4"/>
        <v>0</v>
      </c>
      <c r="D23" s="7">
        <f t="shared" si="4"/>
        <v>0</v>
      </c>
      <c r="E23" s="7">
        <f t="shared" si="4"/>
        <v>0</v>
      </c>
      <c r="F23" s="7">
        <f t="shared" si="4"/>
        <v>0</v>
      </c>
      <c r="G23" s="7">
        <f t="shared" si="4"/>
        <v>0</v>
      </c>
      <c r="H23" s="7">
        <f t="shared" si="4"/>
        <v>0</v>
      </c>
      <c r="I23" s="7">
        <f t="shared" si="4"/>
        <v>0</v>
      </c>
      <c r="J23" s="7">
        <f t="shared" si="4"/>
        <v>0</v>
      </c>
      <c r="K23" s="7">
        <f t="shared" si="4"/>
        <v>0</v>
      </c>
      <c r="L23" s="7">
        <f t="shared" si="4"/>
        <v>0</v>
      </c>
      <c r="M23" s="7">
        <f t="shared" si="4"/>
        <v>0</v>
      </c>
      <c r="N23" s="7">
        <f t="shared" si="4"/>
        <v>0</v>
      </c>
      <c r="O23" s="7">
        <f t="shared" si="4"/>
        <v>0</v>
      </c>
      <c r="P23" s="7">
        <f t="shared" si="4"/>
        <v>877.15</v>
      </c>
      <c r="Q23" s="7">
        <f t="shared" si="4"/>
        <v>0</v>
      </c>
      <c r="R23" s="7">
        <f t="shared" si="4"/>
        <v>0</v>
      </c>
      <c r="S23" s="7">
        <f t="shared" si="4"/>
        <v>0</v>
      </c>
      <c r="T23" s="7">
        <f t="shared" si="4"/>
        <v>0</v>
      </c>
      <c r="U23" s="7">
        <f t="shared" si="4"/>
        <v>0</v>
      </c>
      <c r="V23" s="7">
        <f t="shared" si="0"/>
        <v>0</v>
      </c>
      <c r="W23" s="7">
        <f>(W21)+(W22)</f>
        <v>697.41</v>
      </c>
      <c r="X23" s="7">
        <f>(X21)+(X22)</f>
        <v>0</v>
      </c>
      <c r="Y23" s="7">
        <f>(Y21)+(Y22)</f>
        <v>0</v>
      </c>
      <c r="Z23" s="7">
        <f>(Z21)+(Z22)</f>
        <v>0</v>
      </c>
      <c r="AA23" s="7">
        <f>(AA21)+(AA22)</f>
        <v>0</v>
      </c>
      <c r="AB23" s="7">
        <f t="shared" si="1"/>
        <v>1574.56</v>
      </c>
    </row>
    <row r="24" spans="1:28" x14ac:dyDescent="0.25">
      <c r="A24" s="3" t="s">
        <v>32</v>
      </c>
      <c r="B24" s="7">
        <f t="shared" ref="B24:U24" si="5">(((((((B11)+(B12))+(B13))+(B14))+(B18))+(B19))+(B20))+(B23)</f>
        <v>0</v>
      </c>
      <c r="C24" s="7">
        <f t="shared" si="5"/>
        <v>0</v>
      </c>
      <c r="D24" s="7">
        <f t="shared" si="5"/>
        <v>1093.33</v>
      </c>
      <c r="E24" s="7">
        <f t="shared" si="5"/>
        <v>0</v>
      </c>
      <c r="F24" s="7">
        <f t="shared" si="5"/>
        <v>0</v>
      </c>
      <c r="G24" s="7">
        <f t="shared" si="5"/>
        <v>0</v>
      </c>
      <c r="H24" s="7">
        <f t="shared" si="5"/>
        <v>0</v>
      </c>
      <c r="I24" s="7">
        <f t="shared" si="5"/>
        <v>520</v>
      </c>
      <c r="J24" s="7">
        <f t="shared" si="5"/>
        <v>520</v>
      </c>
      <c r="K24" s="7">
        <f t="shared" si="5"/>
        <v>0</v>
      </c>
      <c r="L24" s="7">
        <f t="shared" si="5"/>
        <v>4403</v>
      </c>
      <c r="M24" s="7">
        <f t="shared" si="5"/>
        <v>0</v>
      </c>
      <c r="N24" s="7">
        <f t="shared" si="5"/>
        <v>0</v>
      </c>
      <c r="O24" s="7">
        <f t="shared" si="5"/>
        <v>350</v>
      </c>
      <c r="P24" s="7">
        <f t="shared" si="5"/>
        <v>877.15</v>
      </c>
      <c r="Q24" s="7">
        <f t="shared" si="5"/>
        <v>0</v>
      </c>
      <c r="R24" s="7">
        <f t="shared" si="5"/>
        <v>530</v>
      </c>
      <c r="S24" s="7">
        <f t="shared" si="5"/>
        <v>0</v>
      </c>
      <c r="T24" s="7">
        <f t="shared" si="5"/>
        <v>0</v>
      </c>
      <c r="U24" s="7">
        <f t="shared" si="5"/>
        <v>4933.95</v>
      </c>
      <c r="V24" s="7">
        <f t="shared" si="0"/>
        <v>4933.95</v>
      </c>
      <c r="W24" s="7">
        <f>(((((((W11)+(W12))+(W13))+(W14))+(W18))+(W19))+(W20))+(W23)</f>
        <v>697.41</v>
      </c>
      <c r="X24" s="7">
        <f>(((((((X11)+(X12))+(X13))+(X14))+(X18))+(X19))+(X20))+(X23)</f>
        <v>0</v>
      </c>
      <c r="Y24" s="7">
        <f>(((((((Y11)+(Y12))+(Y13))+(Y14))+(Y18))+(Y19))+(Y20))+(Y23)</f>
        <v>127.5</v>
      </c>
      <c r="Z24" s="7">
        <f>(((((((Z11)+(Z12))+(Z13))+(Z14))+(Z18))+(Z19))+(Z20))+(Z23)</f>
        <v>0</v>
      </c>
      <c r="AA24" s="7">
        <f>(((((((AA11)+(AA12))+(AA13))+(AA14))+(AA18))+(AA19))+(AA20))+(AA23)</f>
        <v>5360</v>
      </c>
      <c r="AB24" s="7">
        <f t="shared" si="1"/>
        <v>19412.34</v>
      </c>
    </row>
    <row r="25" spans="1:28" x14ac:dyDescent="0.25">
      <c r="A25" s="3" t="s">
        <v>33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5">
        <f>1350</f>
        <v>1350</v>
      </c>
      <c r="V25" s="5">
        <f t="shared" si="0"/>
        <v>1350</v>
      </c>
      <c r="W25" s="4"/>
      <c r="X25" s="4"/>
      <c r="Y25" s="4"/>
      <c r="Z25" s="4"/>
      <c r="AA25" s="4"/>
      <c r="AB25" s="5">
        <f t="shared" si="1"/>
        <v>1350</v>
      </c>
    </row>
    <row r="26" spans="1:28" x14ac:dyDescent="0.25">
      <c r="A26" s="3" t="s">
        <v>36</v>
      </c>
      <c r="B26" s="7">
        <f t="shared" ref="B26:U26" si="6">((B10)+(B24))+(B25)</f>
        <v>0</v>
      </c>
      <c r="C26" s="7">
        <f t="shared" si="6"/>
        <v>0</v>
      </c>
      <c r="D26" s="7">
        <f t="shared" si="6"/>
        <v>1093.33</v>
      </c>
      <c r="E26" s="7">
        <f t="shared" si="6"/>
        <v>0</v>
      </c>
      <c r="F26" s="7">
        <f t="shared" si="6"/>
        <v>0</v>
      </c>
      <c r="G26" s="7">
        <f t="shared" si="6"/>
        <v>0</v>
      </c>
      <c r="H26" s="7">
        <f t="shared" si="6"/>
        <v>0</v>
      </c>
      <c r="I26" s="7">
        <f t="shared" si="6"/>
        <v>520</v>
      </c>
      <c r="J26" s="7">
        <f t="shared" si="6"/>
        <v>520</v>
      </c>
      <c r="K26" s="7">
        <f t="shared" si="6"/>
        <v>0</v>
      </c>
      <c r="L26" s="7">
        <f t="shared" si="6"/>
        <v>4403</v>
      </c>
      <c r="M26" s="7">
        <f t="shared" si="6"/>
        <v>0</v>
      </c>
      <c r="N26" s="7">
        <f t="shared" si="6"/>
        <v>342.6</v>
      </c>
      <c r="O26" s="7">
        <f t="shared" si="6"/>
        <v>650</v>
      </c>
      <c r="P26" s="7">
        <f t="shared" si="6"/>
        <v>1119.75</v>
      </c>
      <c r="Q26" s="7">
        <f t="shared" si="6"/>
        <v>1300</v>
      </c>
      <c r="R26" s="7">
        <f t="shared" si="6"/>
        <v>530</v>
      </c>
      <c r="S26" s="7">
        <f t="shared" si="6"/>
        <v>0</v>
      </c>
      <c r="T26" s="7">
        <f t="shared" si="6"/>
        <v>0</v>
      </c>
      <c r="U26" s="7">
        <f t="shared" si="6"/>
        <v>6380.76</v>
      </c>
      <c r="V26" s="7">
        <f t="shared" si="0"/>
        <v>6380.76</v>
      </c>
      <c r="W26" s="7">
        <f>((W10)+(W24))+(W25)</f>
        <v>697.41</v>
      </c>
      <c r="X26" s="7">
        <f>((X10)+(X24))+(X25)</f>
        <v>0</v>
      </c>
      <c r="Y26" s="7">
        <f>((Y10)+(Y24))+(Y25)</f>
        <v>127.5</v>
      </c>
      <c r="Z26" s="7">
        <f>((Z10)+(Z24))+(Z25)</f>
        <v>0</v>
      </c>
      <c r="AA26" s="7">
        <f>((AA10)+(AA24))+(AA25)</f>
        <v>5707.12</v>
      </c>
      <c r="AB26" s="7">
        <f t="shared" si="1"/>
        <v>23391.47</v>
      </c>
    </row>
    <row r="27" spans="1:28" x14ac:dyDescent="0.25">
      <c r="A27" s="3" t="s">
        <v>37</v>
      </c>
      <c r="B27" s="7">
        <f t="shared" ref="B27:U27" si="7">(B26)-(0)</f>
        <v>0</v>
      </c>
      <c r="C27" s="7">
        <f t="shared" si="7"/>
        <v>0</v>
      </c>
      <c r="D27" s="7">
        <f t="shared" si="7"/>
        <v>1093.33</v>
      </c>
      <c r="E27" s="7">
        <f t="shared" si="7"/>
        <v>0</v>
      </c>
      <c r="F27" s="7">
        <f t="shared" si="7"/>
        <v>0</v>
      </c>
      <c r="G27" s="7">
        <f t="shared" si="7"/>
        <v>0</v>
      </c>
      <c r="H27" s="7">
        <f t="shared" si="7"/>
        <v>0</v>
      </c>
      <c r="I27" s="7">
        <f t="shared" si="7"/>
        <v>520</v>
      </c>
      <c r="J27" s="7">
        <f t="shared" si="7"/>
        <v>520</v>
      </c>
      <c r="K27" s="7">
        <f t="shared" si="7"/>
        <v>0</v>
      </c>
      <c r="L27" s="7">
        <f t="shared" si="7"/>
        <v>4403</v>
      </c>
      <c r="M27" s="7">
        <f t="shared" si="7"/>
        <v>0</v>
      </c>
      <c r="N27" s="7">
        <f t="shared" si="7"/>
        <v>342.6</v>
      </c>
      <c r="O27" s="7">
        <f t="shared" si="7"/>
        <v>650</v>
      </c>
      <c r="P27" s="7">
        <f t="shared" si="7"/>
        <v>1119.75</v>
      </c>
      <c r="Q27" s="7">
        <f t="shared" si="7"/>
        <v>1300</v>
      </c>
      <c r="R27" s="7">
        <f t="shared" si="7"/>
        <v>530</v>
      </c>
      <c r="S27" s="7">
        <f t="shared" si="7"/>
        <v>0</v>
      </c>
      <c r="T27" s="7">
        <f t="shared" si="7"/>
        <v>0</v>
      </c>
      <c r="U27" s="7">
        <f t="shared" si="7"/>
        <v>6380.76</v>
      </c>
      <c r="V27" s="7">
        <f t="shared" si="0"/>
        <v>6380.76</v>
      </c>
      <c r="W27" s="7">
        <f>(W26)-(0)</f>
        <v>697.41</v>
      </c>
      <c r="X27" s="7">
        <f>(X26)-(0)</f>
        <v>0</v>
      </c>
      <c r="Y27" s="7">
        <f>(Y26)-(0)</f>
        <v>127.5</v>
      </c>
      <c r="Z27" s="7">
        <f>(Z26)-(0)</f>
        <v>0</v>
      </c>
      <c r="AA27" s="7">
        <f>(AA26)-(0)</f>
        <v>5707.12</v>
      </c>
      <c r="AB27" s="7">
        <f t="shared" si="1"/>
        <v>23391.47</v>
      </c>
    </row>
    <row r="28" spans="1:28" x14ac:dyDescent="0.25">
      <c r="A28" s="3" t="s">
        <v>38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x14ac:dyDescent="0.25">
      <c r="A29" s="3" t="s">
        <v>39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5">
        <f t="shared" ref="V29:V54" si="8">(T29)+(U29)</f>
        <v>0</v>
      </c>
      <c r="W29" s="4"/>
      <c r="X29" s="4"/>
      <c r="Y29" s="4"/>
      <c r="Z29" s="4"/>
      <c r="AA29" s="4"/>
      <c r="AB29" s="5">
        <f t="shared" ref="AB29:AB54" si="9">(((((((((((((((((((((((B29)+(C29))+(D29))+(E29))+(F29))+(G29))+(H29))+(I29))+(J29))+(K29))+(L29))+(M29))+(N29))+(O29))+(P29))+(Q29))+(R29))+(S29))+(V29))+(W29))+(X29))+(Y29))+(Z29))+(AA29)</f>
        <v>0</v>
      </c>
    </row>
    <row r="30" spans="1:28" x14ac:dyDescent="0.25">
      <c r="A30" s="3" t="s">
        <v>45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5">
        <f>99</f>
        <v>99</v>
      </c>
      <c r="V30" s="5">
        <f t="shared" si="8"/>
        <v>99</v>
      </c>
      <c r="W30" s="4"/>
      <c r="X30" s="4"/>
      <c r="Y30" s="4"/>
      <c r="Z30" s="4"/>
      <c r="AA30" s="4"/>
      <c r="AB30" s="5">
        <f t="shared" si="9"/>
        <v>99</v>
      </c>
    </row>
    <row r="31" spans="1:28" x14ac:dyDescent="0.25">
      <c r="A31" s="3" t="s">
        <v>46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5">
        <f>2099</f>
        <v>2099</v>
      </c>
      <c r="V31" s="5">
        <f t="shared" si="8"/>
        <v>2099</v>
      </c>
      <c r="W31" s="4"/>
      <c r="X31" s="4"/>
      <c r="Y31" s="4"/>
      <c r="Z31" s="4"/>
      <c r="AA31" s="4"/>
      <c r="AB31" s="5">
        <f t="shared" si="9"/>
        <v>2099</v>
      </c>
    </row>
    <row r="32" spans="1:28" x14ac:dyDescent="0.25">
      <c r="A32" s="3" t="s">
        <v>47</v>
      </c>
      <c r="B32" s="7">
        <f t="shared" ref="B32:U32" si="10">((B29)+(B30))+(B31)</f>
        <v>0</v>
      </c>
      <c r="C32" s="7">
        <f t="shared" si="10"/>
        <v>0</v>
      </c>
      <c r="D32" s="7">
        <f t="shared" si="10"/>
        <v>0</v>
      </c>
      <c r="E32" s="7">
        <f t="shared" si="10"/>
        <v>0</v>
      </c>
      <c r="F32" s="7">
        <f t="shared" si="10"/>
        <v>0</v>
      </c>
      <c r="G32" s="7">
        <f t="shared" si="10"/>
        <v>0</v>
      </c>
      <c r="H32" s="7">
        <f t="shared" si="10"/>
        <v>0</v>
      </c>
      <c r="I32" s="7">
        <f t="shared" si="10"/>
        <v>0</v>
      </c>
      <c r="J32" s="7">
        <f t="shared" si="10"/>
        <v>0</v>
      </c>
      <c r="K32" s="7">
        <f t="shared" si="10"/>
        <v>0</v>
      </c>
      <c r="L32" s="7">
        <f t="shared" si="10"/>
        <v>0</v>
      </c>
      <c r="M32" s="7">
        <f t="shared" si="10"/>
        <v>0</v>
      </c>
      <c r="N32" s="7">
        <f t="shared" si="10"/>
        <v>0</v>
      </c>
      <c r="O32" s="7">
        <f t="shared" si="10"/>
        <v>0</v>
      </c>
      <c r="P32" s="7">
        <f t="shared" si="10"/>
        <v>0</v>
      </c>
      <c r="Q32" s="7">
        <f t="shared" si="10"/>
        <v>0</v>
      </c>
      <c r="R32" s="7">
        <f t="shared" si="10"/>
        <v>0</v>
      </c>
      <c r="S32" s="7">
        <f t="shared" si="10"/>
        <v>0</v>
      </c>
      <c r="T32" s="7">
        <f t="shared" si="10"/>
        <v>0</v>
      </c>
      <c r="U32" s="7">
        <f t="shared" si="10"/>
        <v>2198</v>
      </c>
      <c r="V32" s="7">
        <f t="shared" si="8"/>
        <v>2198</v>
      </c>
      <c r="W32" s="7">
        <f>((W29)+(W30))+(W31)</f>
        <v>0</v>
      </c>
      <c r="X32" s="7">
        <f>((X29)+(X30))+(X31)</f>
        <v>0</v>
      </c>
      <c r="Y32" s="7">
        <f>((Y29)+(Y30))+(Y31)</f>
        <v>0</v>
      </c>
      <c r="Z32" s="7">
        <f>((Z29)+(Z30))+(Z31)</f>
        <v>0</v>
      </c>
      <c r="AA32" s="7">
        <f>((AA29)+(AA30))+(AA31)</f>
        <v>0</v>
      </c>
      <c r="AB32" s="7">
        <f t="shared" si="9"/>
        <v>2198</v>
      </c>
    </row>
    <row r="33" spans="1:28" x14ac:dyDescent="0.25">
      <c r="A33" s="3" t="s">
        <v>48</v>
      </c>
      <c r="B33" s="5">
        <f>973.85</f>
        <v>973.85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5">
        <f t="shared" si="8"/>
        <v>0</v>
      </c>
      <c r="W33" s="4"/>
      <c r="X33" s="4"/>
      <c r="Y33" s="4"/>
      <c r="Z33" s="4"/>
      <c r="AA33" s="4"/>
      <c r="AB33" s="5">
        <f t="shared" si="9"/>
        <v>973.85</v>
      </c>
    </row>
    <row r="34" spans="1:28" x14ac:dyDescent="0.25">
      <c r="A34" s="3" t="s">
        <v>50</v>
      </c>
      <c r="B34" s="4"/>
      <c r="C34" s="4"/>
      <c r="D34" s="4"/>
      <c r="E34" s="5">
        <f>307.1</f>
        <v>307.10000000000002</v>
      </c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5">
        <f t="shared" si="8"/>
        <v>0</v>
      </c>
      <c r="W34" s="4"/>
      <c r="X34" s="4"/>
      <c r="Y34" s="4"/>
      <c r="Z34" s="4"/>
      <c r="AA34" s="4"/>
      <c r="AB34" s="5">
        <f t="shared" si="9"/>
        <v>307.10000000000002</v>
      </c>
    </row>
    <row r="35" spans="1:28" x14ac:dyDescent="0.25">
      <c r="A35" s="3" t="s">
        <v>52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5">
        <f>14413.35</f>
        <v>14413.35</v>
      </c>
      <c r="V35" s="5">
        <f t="shared" si="8"/>
        <v>14413.35</v>
      </c>
      <c r="W35" s="4"/>
      <c r="X35" s="4"/>
      <c r="Y35" s="4"/>
      <c r="Z35" s="4"/>
      <c r="AA35" s="5">
        <f>310.54</f>
        <v>310.54000000000002</v>
      </c>
      <c r="AB35" s="5">
        <f t="shared" si="9"/>
        <v>14723.890000000001</v>
      </c>
    </row>
    <row r="36" spans="1:28" x14ac:dyDescent="0.25">
      <c r="A36" s="3" t="s">
        <v>20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5">
        <f>2054.59</f>
        <v>2054.59</v>
      </c>
      <c r="V36" s="5">
        <f t="shared" si="8"/>
        <v>2054.59</v>
      </c>
      <c r="W36" s="4"/>
      <c r="X36" s="4"/>
      <c r="Y36" s="4"/>
      <c r="Z36" s="4"/>
      <c r="AA36" s="4"/>
      <c r="AB36" s="5">
        <f t="shared" si="9"/>
        <v>2054.59</v>
      </c>
    </row>
    <row r="37" spans="1:28" x14ac:dyDescent="0.25">
      <c r="A37" s="3" t="s">
        <v>55</v>
      </c>
      <c r="B37" s="7">
        <f t="shared" ref="B37:U37" si="11">(((B33)+(B34))+(B35))+(B36)</f>
        <v>973.85</v>
      </c>
      <c r="C37" s="7">
        <f t="shared" si="11"/>
        <v>0</v>
      </c>
      <c r="D37" s="7">
        <f t="shared" si="11"/>
        <v>0</v>
      </c>
      <c r="E37" s="7">
        <f t="shared" si="11"/>
        <v>307.10000000000002</v>
      </c>
      <c r="F37" s="7">
        <f t="shared" si="11"/>
        <v>0</v>
      </c>
      <c r="G37" s="7">
        <f t="shared" si="11"/>
        <v>0</v>
      </c>
      <c r="H37" s="7">
        <f t="shared" si="11"/>
        <v>0</v>
      </c>
      <c r="I37" s="7">
        <f t="shared" si="11"/>
        <v>0</v>
      </c>
      <c r="J37" s="7">
        <f t="shared" si="11"/>
        <v>0</v>
      </c>
      <c r="K37" s="7">
        <f t="shared" si="11"/>
        <v>0</v>
      </c>
      <c r="L37" s="7">
        <f t="shared" si="11"/>
        <v>0</v>
      </c>
      <c r="M37" s="7">
        <f t="shared" si="11"/>
        <v>0</v>
      </c>
      <c r="N37" s="7">
        <f t="shared" si="11"/>
        <v>0</v>
      </c>
      <c r="O37" s="7">
        <f t="shared" si="11"/>
        <v>0</v>
      </c>
      <c r="P37" s="7">
        <f t="shared" si="11"/>
        <v>0</v>
      </c>
      <c r="Q37" s="7">
        <f t="shared" si="11"/>
        <v>0</v>
      </c>
      <c r="R37" s="7">
        <f t="shared" si="11"/>
        <v>0</v>
      </c>
      <c r="S37" s="7">
        <f t="shared" si="11"/>
        <v>0</v>
      </c>
      <c r="T37" s="7">
        <f t="shared" si="11"/>
        <v>0</v>
      </c>
      <c r="U37" s="7">
        <f t="shared" si="11"/>
        <v>16467.940000000002</v>
      </c>
      <c r="V37" s="7">
        <f t="shared" si="8"/>
        <v>16467.940000000002</v>
      </c>
      <c r="W37" s="7">
        <f>(((W33)+(W34))+(W35))+(W36)</f>
        <v>0</v>
      </c>
      <c r="X37" s="7">
        <f>(((X33)+(X34))+(X35))+(X36)</f>
        <v>0</v>
      </c>
      <c r="Y37" s="7">
        <f>(((Y33)+(Y34))+(Y35))+(Y36)</f>
        <v>0</v>
      </c>
      <c r="Z37" s="7">
        <f>(((Z33)+(Z34))+(Z35))+(Z36)</f>
        <v>0</v>
      </c>
      <c r="AA37" s="7">
        <f>(((AA33)+(AA34))+(AA35))+(AA36)</f>
        <v>310.54000000000002</v>
      </c>
      <c r="AB37" s="7">
        <f t="shared" si="9"/>
        <v>18059.430000000004</v>
      </c>
    </row>
    <row r="38" spans="1:28" x14ac:dyDescent="0.25">
      <c r="A38" s="3" t="s">
        <v>56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5">
        <f t="shared" si="8"/>
        <v>0</v>
      </c>
      <c r="W38" s="4"/>
      <c r="X38" s="4"/>
      <c r="Y38" s="4"/>
      <c r="Z38" s="4"/>
      <c r="AA38" s="4"/>
      <c r="AB38" s="5">
        <f t="shared" si="9"/>
        <v>0</v>
      </c>
    </row>
    <row r="39" spans="1:28" x14ac:dyDescent="0.25">
      <c r="A39" s="3" t="s">
        <v>57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5">
        <f>1299</f>
        <v>1299</v>
      </c>
      <c r="O39" s="4"/>
      <c r="P39" s="4"/>
      <c r="Q39" s="4"/>
      <c r="R39" s="4"/>
      <c r="S39" s="4"/>
      <c r="T39" s="4"/>
      <c r="U39" s="4"/>
      <c r="V39" s="5">
        <f t="shared" si="8"/>
        <v>0</v>
      </c>
      <c r="W39" s="4"/>
      <c r="X39" s="4"/>
      <c r="Y39" s="4"/>
      <c r="Z39" s="4"/>
      <c r="AA39" s="4"/>
      <c r="AB39" s="5">
        <f t="shared" si="9"/>
        <v>1299</v>
      </c>
    </row>
    <row r="40" spans="1:28" x14ac:dyDescent="0.25">
      <c r="A40" s="3" t="s">
        <v>59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5">
        <f>-190</f>
        <v>-190</v>
      </c>
      <c r="V40" s="5">
        <f t="shared" si="8"/>
        <v>-190</v>
      </c>
      <c r="W40" s="4"/>
      <c r="X40" s="4"/>
      <c r="Y40" s="4"/>
      <c r="Z40" s="4"/>
      <c r="AA40" s="4"/>
      <c r="AB40" s="5">
        <f t="shared" si="9"/>
        <v>-190</v>
      </c>
    </row>
    <row r="41" spans="1:28" x14ac:dyDescent="0.25">
      <c r="A41" s="3" t="s">
        <v>60</v>
      </c>
      <c r="B41" s="4"/>
      <c r="C41" s="4"/>
      <c r="D41" s="5">
        <f>60</f>
        <v>60</v>
      </c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5">
        <f t="shared" si="8"/>
        <v>0</v>
      </c>
      <c r="W41" s="4"/>
      <c r="X41" s="4"/>
      <c r="Y41" s="4"/>
      <c r="Z41" s="4"/>
      <c r="AA41" s="4"/>
      <c r="AB41" s="5">
        <f t="shared" si="9"/>
        <v>60</v>
      </c>
    </row>
    <row r="42" spans="1:28" x14ac:dyDescent="0.25">
      <c r="A42" s="3" t="s">
        <v>62</v>
      </c>
      <c r="B42" s="5">
        <f>153.07</f>
        <v>153.07</v>
      </c>
      <c r="C42" s="5">
        <f>4983.32</f>
        <v>4983.32</v>
      </c>
      <c r="D42" s="4"/>
      <c r="E42" s="5">
        <f>208.08</f>
        <v>208.08</v>
      </c>
      <c r="F42" s="4"/>
      <c r="G42" s="5">
        <f>840.43</f>
        <v>840.43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5">
        <f t="shared" si="8"/>
        <v>0</v>
      </c>
      <c r="W42" s="4"/>
      <c r="X42" s="4"/>
      <c r="Y42" s="4"/>
      <c r="Z42" s="4"/>
      <c r="AA42" s="4"/>
      <c r="AB42" s="5">
        <f t="shared" si="9"/>
        <v>6184.9</v>
      </c>
    </row>
    <row r="43" spans="1:28" x14ac:dyDescent="0.25">
      <c r="A43" s="3" t="s">
        <v>63</v>
      </c>
      <c r="B43" s="5">
        <f>489.06</f>
        <v>489.06</v>
      </c>
      <c r="C43" s="4"/>
      <c r="D43" s="4"/>
      <c r="E43" s="4"/>
      <c r="F43" s="4"/>
      <c r="G43" s="4"/>
      <c r="H43" s="4"/>
      <c r="I43" s="4"/>
      <c r="J43" s="4"/>
      <c r="K43" s="4"/>
      <c r="L43" s="5">
        <f>175</f>
        <v>175</v>
      </c>
      <c r="M43" s="4"/>
      <c r="N43" s="4"/>
      <c r="O43" s="5">
        <f>105</f>
        <v>105</v>
      </c>
      <c r="P43" s="5">
        <f>315</f>
        <v>315</v>
      </c>
      <c r="Q43" s="5">
        <f>90</f>
        <v>90</v>
      </c>
      <c r="R43" s="4"/>
      <c r="S43" s="4"/>
      <c r="T43" s="4"/>
      <c r="U43" s="5">
        <f>90.95</f>
        <v>90.95</v>
      </c>
      <c r="V43" s="5">
        <f t="shared" si="8"/>
        <v>90.95</v>
      </c>
      <c r="W43" s="4"/>
      <c r="X43" s="4"/>
      <c r="Y43" s="4"/>
      <c r="Z43" s="4"/>
      <c r="AA43" s="4"/>
      <c r="AB43" s="5">
        <f t="shared" si="9"/>
        <v>1265.01</v>
      </c>
    </row>
    <row r="44" spans="1:28" x14ac:dyDescent="0.25">
      <c r="A44" s="3" t="s">
        <v>64</v>
      </c>
      <c r="B44" s="5">
        <f>7591.34</f>
        <v>7591.34</v>
      </c>
      <c r="C44" s="4"/>
      <c r="D44" s="4"/>
      <c r="E44" s="4"/>
      <c r="F44" s="5">
        <f>2569.62</f>
        <v>2569.62</v>
      </c>
      <c r="G44" s="4"/>
      <c r="H44" s="5">
        <f>5433.62</f>
        <v>5433.62</v>
      </c>
      <c r="I44" s="4"/>
      <c r="J44" s="5">
        <f>2513.83</f>
        <v>2513.83</v>
      </c>
      <c r="K44" s="5">
        <f>3213.64</f>
        <v>3213.64</v>
      </c>
      <c r="L44" s="5">
        <f>2452.1</f>
        <v>2452.1</v>
      </c>
      <c r="M44" s="5">
        <f>5139.24</f>
        <v>5139.24</v>
      </c>
      <c r="N44" s="5">
        <f>7591.34</f>
        <v>7591.34</v>
      </c>
      <c r="O44" s="5">
        <f>2452.1</f>
        <v>2452.1</v>
      </c>
      <c r="P44" s="5">
        <f>7473.82</f>
        <v>7473.82</v>
      </c>
      <c r="Q44" s="5">
        <f>5083.45</f>
        <v>5083.45</v>
      </c>
      <c r="R44" s="5">
        <f>5286.43</f>
        <v>5286.43</v>
      </c>
      <c r="S44" s="5">
        <f>2569.62</f>
        <v>2569.62</v>
      </c>
      <c r="T44" s="4"/>
      <c r="U44" s="4"/>
      <c r="V44" s="5">
        <f t="shared" si="8"/>
        <v>0</v>
      </c>
      <c r="W44" s="4"/>
      <c r="X44" s="5">
        <f>2569.62</f>
        <v>2569.62</v>
      </c>
      <c r="Y44" s="5">
        <f>2513.83</f>
        <v>2513.83</v>
      </c>
      <c r="Z44" s="5">
        <f>2569.62</f>
        <v>2569.62</v>
      </c>
      <c r="AA44" s="4"/>
      <c r="AB44" s="5">
        <f t="shared" si="9"/>
        <v>67023.22</v>
      </c>
    </row>
    <row r="45" spans="1:28" x14ac:dyDescent="0.25">
      <c r="A45" s="3" t="s">
        <v>69</v>
      </c>
      <c r="B45" s="4"/>
      <c r="C45" s="4"/>
      <c r="D45" s="4"/>
      <c r="E45" s="5">
        <f>723.09</f>
        <v>723.09</v>
      </c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5">
        <f>346.84</f>
        <v>346.84</v>
      </c>
      <c r="R45" s="4"/>
      <c r="S45" s="4"/>
      <c r="T45" s="4"/>
      <c r="U45" s="4"/>
      <c r="V45" s="5">
        <f t="shared" si="8"/>
        <v>0</v>
      </c>
      <c r="W45" s="4"/>
      <c r="X45" s="4"/>
      <c r="Y45" s="4"/>
      <c r="Z45" s="4"/>
      <c r="AA45" s="4"/>
      <c r="AB45" s="5">
        <f t="shared" si="9"/>
        <v>1069.93</v>
      </c>
    </row>
    <row r="46" spans="1:28" x14ac:dyDescent="0.25">
      <c r="A46" s="3" t="s">
        <v>71</v>
      </c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5">
        <f>89.54</f>
        <v>89.54</v>
      </c>
      <c r="R46" s="4"/>
      <c r="S46" s="4"/>
      <c r="T46" s="4"/>
      <c r="U46" s="4"/>
      <c r="V46" s="5">
        <f t="shared" si="8"/>
        <v>0</v>
      </c>
      <c r="W46" s="4"/>
      <c r="X46" s="4"/>
      <c r="Y46" s="4"/>
      <c r="Z46" s="4"/>
      <c r="AA46" s="4"/>
      <c r="AB46" s="5">
        <f t="shared" si="9"/>
        <v>89.54</v>
      </c>
    </row>
    <row r="47" spans="1:28" x14ac:dyDescent="0.25">
      <c r="A47" s="3" t="s">
        <v>72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5">
        <f>312.58</f>
        <v>312.58</v>
      </c>
      <c r="T47" s="4"/>
      <c r="U47" s="4"/>
      <c r="V47" s="5">
        <f t="shared" si="8"/>
        <v>0</v>
      </c>
      <c r="W47" s="4"/>
      <c r="X47" s="4"/>
      <c r="Y47" s="4"/>
      <c r="Z47" s="4"/>
      <c r="AA47" s="4"/>
      <c r="AB47" s="5">
        <f t="shared" si="9"/>
        <v>312.58</v>
      </c>
    </row>
    <row r="48" spans="1:28" x14ac:dyDescent="0.25">
      <c r="A48" s="3" t="s">
        <v>73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5">
        <f>772.57</f>
        <v>772.57</v>
      </c>
      <c r="Q48" s="4"/>
      <c r="R48" s="4"/>
      <c r="S48" s="4"/>
      <c r="T48" s="4"/>
      <c r="U48" s="4"/>
      <c r="V48" s="5">
        <f t="shared" si="8"/>
        <v>0</v>
      </c>
      <c r="W48" s="4"/>
      <c r="X48" s="4"/>
      <c r="Y48" s="4"/>
      <c r="Z48" s="4"/>
      <c r="AA48" s="4"/>
      <c r="AB48" s="5">
        <f t="shared" si="9"/>
        <v>772.57</v>
      </c>
    </row>
    <row r="49" spans="1:28" x14ac:dyDescent="0.25">
      <c r="A49" s="3" t="s">
        <v>74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5">
        <f>1924.69</f>
        <v>1924.69</v>
      </c>
      <c r="O49" s="4"/>
      <c r="P49" s="4"/>
      <c r="Q49" s="4"/>
      <c r="R49" s="4"/>
      <c r="S49" s="4"/>
      <c r="T49" s="4"/>
      <c r="U49" s="4"/>
      <c r="V49" s="5">
        <f t="shared" si="8"/>
        <v>0</v>
      </c>
      <c r="W49" s="4"/>
      <c r="X49" s="4"/>
      <c r="Y49" s="4"/>
      <c r="Z49" s="4"/>
      <c r="AA49" s="4"/>
      <c r="AB49" s="5">
        <f t="shared" si="9"/>
        <v>1924.69</v>
      </c>
    </row>
    <row r="50" spans="1:28" x14ac:dyDescent="0.25">
      <c r="A50" s="3" t="s">
        <v>75</v>
      </c>
      <c r="B50" s="7">
        <f t="shared" ref="B50:U50" si="12">(B48)+(B49)</f>
        <v>0</v>
      </c>
      <c r="C50" s="7">
        <f t="shared" si="12"/>
        <v>0</v>
      </c>
      <c r="D50" s="7">
        <f t="shared" si="12"/>
        <v>0</v>
      </c>
      <c r="E50" s="7">
        <f t="shared" si="12"/>
        <v>0</v>
      </c>
      <c r="F50" s="7">
        <f t="shared" si="12"/>
        <v>0</v>
      </c>
      <c r="G50" s="7">
        <f t="shared" si="12"/>
        <v>0</v>
      </c>
      <c r="H50" s="7">
        <f t="shared" si="12"/>
        <v>0</v>
      </c>
      <c r="I50" s="7">
        <f t="shared" si="12"/>
        <v>0</v>
      </c>
      <c r="J50" s="7">
        <f t="shared" si="12"/>
        <v>0</v>
      </c>
      <c r="K50" s="7">
        <f t="shared" si="12"/>
        <v>0</v>
      </c>
      <c r="L50" s="7">
        <f t="shared" si="12"/>
        <v>0</v>
      </c>
      <c r="M50" s="7">
        <f t="shared" si="12"/>
        <v>0</v>
      </c>
      <c r="N50" s="7">
        <f t="shared" si="12"/>
        <v>1924.69</v>
      </c>
      <c r="O50" s="7">
        <f t="shared" si="12"/>
        <v>0</v>
      </c>
      <c r="P50" s="7">
        <f t="shared" si="12"/>
        <v>772.57</v>
      </c>
      <c r="Q50" s="7">
        <f t="shared" si="12"/>
        <v>0</v>
      </c>
      <c r="R50" s="7">
        <f t="shared" si="12"/>
        <v>0</v>
      </c>
      <c r="S50" s="7">
        <f t="shared" si="12"/>
        <v>0</v>
      </c>
      <c r="T50" s="7">
        <f t="shared" si="12"/>
        <v>0</v>
      </c>
      <c r="U50" s="7">
        <f t="shared" si="12"/>
        <v>0</v>
      </c>
      <c r="V50" s="7">
        <f t="shared" si="8"/>
        <v>0</v>
      </c>
      <c r="W50" s="7">
        <f>(W48)+(W49)</f>
        <v>0</v>
      </c>
      <c r="X50" s="7">
        <f>(X48)+(X49)</f>
        <v>0</v>
      </c>
      <c r="Y50" s="7">
        <f>(Y48)+(Y49)</f>
        <v>0</v>
      </c>
      <c r="Z50" s="7">
        <f>(Z48)+(Z49)</f>
        <v>0</v>
      </c>
      <c r="AA50" s="7">
        <f>(AA48)+(AA49)</f>
        <v>0</v>
      </c>
      <c r="AB50" s="7">
        <f t="shared" si="9"/>
        <v>2697.26</v>
      </c>
    </row>
    <row r="51" spans="1:28" x14ac:dyDescent="0.25">
      <c r="A51" s="3" t="s">
        <v>76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5">
        <f>469</f>
        <v>469</v>
      </c>
      <c r="Q51" s="4"/>
      <c r="R51" s="4"/>
      <c r="S51" s="5">
        <f>260</f>
        <v>260</v>
      </c>
      <c r="T51" s="4"/>
      <c r="U51" s="4"/>
      <c r="V51" s="5">
        <f t="shared" si="8"/>
        <v>0</v>
      </c>
      <c r="W51" s="4"/>
      <c r="X51" s="4"/>
      <c r="Y51" s="4"/>
      <c r="Z51" s="4"/>
      <c r="AA51" s="4"/>
      <c r="AB51" s="5">
        <f t="shared" si="9"/>
        <v>729</v>
      </c>
    </row>
    <row r="52" spans="1:28" x14ac:dyDescent="0.25">
      <c r="A52" s="3" t="s">
        <v>77</v>
      </c>
      <c r="B52" s="7">
        <f t="shared" ref="B52:U52" si="13">(((((((((((B38)+(B39))+(B40))+(B41))+(B42))+(B43))+(B44))+(B45))+(B46))+(B47))+(B50))+(B51)</f>
        <v>8233.4699999999993</v>
      </c>
      <c r="C52" s="7">
        <f t="shared" si="13"/>
        <v>4983.32</v>
      </c>
      <c r="D52" s="7">
        <f t="shared" si="13"/>
        <v>60</v>
      </c>
      <c r="E52" s="7">
        <f t="shared" si="13"/>
        <v>931.17000000000007</v>
      </c>
      <c r="F52" s="7">
        <f t="shared" si="13"/>
        <v>2569.62</v>
      </c>
      <c r="G52" s="7">
        <f t="shared" si="13"/>
        <v>840.43</v>
      </c>
      <c r="H52" s="7">
        <f t="shared" si="13"/>
        <v>5433.62</v>
      </c>
      <c r="I52" s="7">
        <f t="shared" si="13"/>
        <v>0</v>
      </c>
      <c r="J52" s="7">
        <f t="shared" si="13"/>
        <v>2513.83</v>
      </c>
      <c r="K52" s="7">
        <f t="shared" si="13"/>
        <v>3213.64</v>
      </c>
      <c r="L52" s="7">
        <f t="shared" si="13"/>
        <v>2627.1</v>
      </c>
      <c r="M52" s="7">
        <f t="shared" si="13"/>
        <v>5139.24</v>
      </c>
      <c r="N52" s="7">
        <f t="shared" si="13"/>
        <v>10815.03</v>
      </c>
      <c r="O52" s="7">
        <f t="shared" si="13"/>
        <v>2557.1</v>
      </c>
      <c r="P52" s="7">
        <f t="shared" si="13"/>
        <v>9030.39</v>
      </c>
      <c r="Q52" s="7">
        <f t="shared" si="13"/>
        <v>5609.83</v>
      </c>
      <c r="R52" s="7">
        <f t="shared" si="13"/>
        <v>5286.43</v>
      </c>
      <c r="S52" s="7">
        <f t="shared" si="13"/>
        <v>3142.2</v>
      </c>
      <c r="T52" s="7">
        <f t="shared" si="13"/>
        <v>0</v>
      </c>
      <c r="U52" s="7">
        <f t="shared" si="13"/>
        <v>-99.05</v>
      </c>
      <c r="V52" s="7">
        <f t="shared" si="8"/>
        <v>-99.05</v>
      </c>
      <c r="W52" s="7">
        <f>(((((((((((W38)+(W39))+(W40))+(W41))+(W42))+(W43))+(W44))+(W45))+(W46))+(W47))+(W50))+(W51)</f>
        <v>0</v>
      </c>
      <c r="X52" s="7">
        <f>(((((((((((X38)+(X39))+(X40))+(X41))+(X42))+(X43))+(X44))+(X45))+(X46))+(X47))+(X50))+(X51)</f>
        <v>2569.62</v>
      </c>
      <c r="Y52" s="7">
        <f>(((((((((((Y38)+(Y39))+(Y40))+(Y41))+(Y42))+(Y43))+(Y44))+(Y45))+(Y46))+(Y47))+(Y50))+(Y51)</f>
        <v>2513.83</v>
      </c>
      <c r="Z52" s="7">
        <f>(((((((((((Z38)+(Z39))+(Z40))+(Z41))+(Z42))+(Z43))+(Z44))+(Z45))+(Z46))+(Z47))+(Z50))+(Z51)</f>
        <v>2569.62</v>
      </c>
      <c r="AA52" s="7">
        <f>(((((((((((AA38)+(AA39))+(AA40))+(AA41))+(AA42))+(AA43))+(AA44))+(AA45))+(AA46))+(AA47))+(AA50))+(AA51)</f>
        <v>0</v>
      </c>
      <c r="AB52" s="7">
        <f t="shared" si="9"/>
        <v>80540.439999999988</v>
      </c>
    </row>
    <row r="53" spans="1:28" x14ac:dyDescent="0.25">
      <c r="A53" s="3" t="s">
        <v>78</v>
      </c>
      <c r="B53" s="7">
        <f t="shared" ref="B53:U53" si="14">((B32)+(B37))+(B52)</f>
        <v>9207.32</v>
      </c>
      <c r="C53" s="7">
        <f t="shared" si="14"/>
        <v>4983.32</v>
      </c>
      <c r="D53" s="7">
        <f t="shared" si="14"/>
        <v>60</v>
      </c>
      <c r="E53" s="7">
        <f t="shared" si="14"/>
        <v>1238.27</v>
      </c>
      <c r="F53" s="7">
        <f t="shared" si="14"/>
        <v>2569.62</v>
      </c>
      <c r="G53" s="7">
        <f t="shared" si="14"/>
        <v>840.43</v>
      </c>
      <c r="H53" s="7">
        <f t="shared" si="14"/>
        <v>5433.62</v>
      </c>
      <c r="I53" s="7">
        <f t="shared" si="14"/>
        <v>0</v>
      </c>
      <c r="J53" s="7">
        <f t="shared" si="14"/>
        <v>2513.83</v>
      </c>
      <c r="K53" s="7">
        <f t="shared" si="14"/>
        <v>3213.64</v>
      </c>
      <c r="L53" s="7">
        <f t="shared" si="14"/>
        <v>2627.1</v>
      </c>
      <c r="M53" s="7">
        <f t="shared" si="14"/>
        <v>5139.24</v>
      </c>
      <c r="N53" s="7">
        <f t="shared" si="14"/>
        <v>10815.03</v>
      </c>
      <c r="O53" s="7">
        <f t="shared" si="14"/>
        <v>2557.1</v>
      </c>
      <c r="P53" s="7">
        <f t="shared" si="14"/>
        <v>9030.39</v>
      </c>
      <c r="Q53" s="7">
        <f t="shared" si="14"/>
        <v>5609.83</v>
      </c>
      <c r="R53" s="7">
        <f t="shared" si="14"/>
        <v>5286.43</v>
      </c>
      <c r="S53" s="7">
        <f t="shared" si="14"/>
        <v>3142.2</v>
      </c>
      <c r="T53" s="7">
        <f t="shared" si="14"/>
        <v>0</v>
      </c>
      <c r="U53" s="7">
        <f t="shared" si="14"/>
        <v>18566.890000000003</v>
      </c>
      <c r="V53" s="7">
        <f t="shared" si="8"/>
        <v>18566.890000000003</v>
      </c>
      <c r="W53" s="7">
        <f>((W32)+(W37))+(W52)</f>
        <v>0</v>
      </c>
      <c r="X53" s="7">
        <f>((X32)+(X37))+(X52)</f>
        <v>2569.62</v>
      </c>
      <c r="Y53" s="7">
        <f>((Y32)+(Y37))+(Y52)</f>
        <v>2513.83</v>
      </c>
      <c r="Z53" s="7">
        <f>((Z32)+(Z37))+(Z52)</f>
        <v>2569.62</v>
      </c>
      <c r="AA53" s="7">
        <f>((AA32)+(AA37))+(AA52)</f>
        <v>310.54000000000002</v>
      </c>
      <c r="AB53" s="7">
        <f t="shared" si="9"/>
        <v>100797.86999999997</v>
      </c>
    </row>
    <row r="54" spans="1:28" x14ac:dyDescent="0.25">
      <c r="A54" s="3" t="s">
        <v>79</v>
      </c>
      <c r="B54" s="7">
        <f t="shared" ref="B54:U54" si="15">(B27)-(B53)</f>
        <v>-9207.32</v>
      </c>
      <c r="C54" s="7">
        <f t="shared" si="15"/>
        <v>-4983.32</v>
      </c>
      <c r="D54" s="7">
        <f t="shared" si="15"/>
        <v>1033.33</v>
      </c>
      <c r="E54" s="7">
        <f t="shared" si="15"/>
        <v>-1238.27</v>
      </c>
      <c r="F54" s="7">
        <f t="shared" si="15"/>
        <v>-2569.62</v>
      </c>
      <c r="G54" s="7">
        <f t="shared" si="15"/>
        <v>-840.43</v>
      </c>
      <c r="H54" s="7">
        <f t="shared" si="15"/>
        <v>-5433.62</v>
      </c>
      <c r="I54" s="7">
        <f t="shared" si="15"/>
        <v>520</v>
      </c>
      <c r="J54" s="7">
        <f t="shared" si="15"/>
        <v>-1993.83</v>
      </c>
      <c r="K54" s="7">
        <f t="shared" si="15"/>
        <v>-3213.64</v>
      </c>
      <c r="L54" s="7">
        <f t="shared" si="15"/>
        <v>1775.9</v>
      </c>
      <c r="M54" s="7">
        <f t="shared" si="15"/>
        <v>-5139.24</v>
      </c>
      <c r="N54" s="7">
        <f t="shared" si="15"/>
        <v>-10472.43</v>
      </c>
      <c r="O54" s="7">
        <f t="shared" si="15"/>
        <v>-1907.1</v>
      </c>
      <c r="P54" s="7">
        <f t="shared" si="15"/>
        <v>-7910.6399999999994</v>
      </c>
      <c r="Q54" s="7">
        <f t="shared" si="15"/>
        <v>-4309.83</v>
      </c>
      <c r="R54" s="7">
        <f t="shared" si="15"/>
        <v>-4756.43</v>
      </c>
      <c r="S54" s="7">
        <f t="shared" si="15"/>
        <v>-3142.2</v>
      </c>
      <c r="T54" s="7">
        <f t="shared" si="15"/>
        <v>0</v>
      </c>
      <c r="U54" s="7">
        <f t="shared" si="15"/>
        <v>-12186.130000000003</v>
      </c>
      <c r="V54" s="7">
        <f t="shared" si="8"/>
        <v>-12186.130000000003</v>
      </c>
      <c r="W54" s="7">
        <f>(W27)-(W53)</f>
        <v>697.41</v>
      </c>
      <c r="X54" s="7">
        <f>(X27)-(X53)</f>
        <v>-2569.62</v>
      </c>
      <c r="Y54" s="7">
        <f>(Y27)-(Y53)</f>
        <v>-2386.33</v>
      </c>
      <c r="Z54" s="7">
        <f>(Z27)-(Z53)</f>
        <v>-2569.62</v>
      </c>
      <c r="AA54" s="7">
        <f>(AA27)-(AA53)</f>
        <v>5396.58</v>
      </c>
      <c r="AB54" s="7">
        <f t="shared" si="9"/>
        <v>-77406.39999999998</v>
      </c>
    </row>
    <row r="55" spans="1:28" x14ac:dyDescent="0.25">
      <c r="A55" s="3" t="s">
        <v>80</v>
      </c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x14ac:dyDescent="0.25">
      <c r="A56" s="3" t="s">
        <v>81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5">
        <f>1.14</f>
        <v>1.1399999999999999</v>
      </c>
      <c r="V56" s="5">
        <f t="shared" ref="V56:V62" si="16">(T56)+(U56)</f>
        <v>1.1399999999999999</v>
      </c>
      <c r="W56" s="4"/>
      <c r="X56" s="4"/>
      <c r="Y56" s="4"/>
      <c r="Z56" s="4"/>
      <c r="AA56" s="4"/>
      <c r="AB56" s="5">
        <f t="shared" ref="AB56:AB62" si="17">(((((((((((((((((((((((B56)+(C56))+(D56))+(E56))+(F56))+(G56))+(H56))+(I56))+(J56))+(K56))+(L56))+(M56))+(N56))+(O56))+(P56))+(Q56))+(R56))+(S56))+(V56))+(W56))+(X56))+(Y56))+(Z56))+(AA56)</f>
        <v>1.1399999999999999</v>
      </c>
    </row>
    <row r="57" spans="1:28" x14ac:dyDescent="0.25">
      <c r="A57" s="3" t="s">
        <v>82</v>
      </c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5">
        <f t="shared" si="16"/>
        <v>0</v>
      </c>
      <c r="W57" s="4"/>
      <c r="X57" s="4"/>
      <c r="Y57" s="4"/>
      <c r="Z57" s="4"/>
      <c r="AA57" s="4"/>
      <c r="AB57" s="5">
        <f t="shared" si="17"/>
        <v>0</v>
      </c>
    </row>
    <row r="58" spans="1:28" x14ac:dyDescent="0.25">
      <c r="A58" s="3" t="s">
        <v>83</v>
      </c>
      <c r="B58" s="5">
        <f>785</f>
        <v>785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5">
        <f>1138</f>
        <v>1138</v>
      </c>
      <c r="R58" s="4"/>
      <c r="S58" s="4"/>
      <c r="T58" s="4"/>
      <c r="U58" s="4"/>
      <c r="V58" s="5">
        <f t="shared" si="16"/>
        <v>0</v>
      </c>
      <c r="W58" s="4"/>
      <c r="X58" s="4"/>
      <c r="Y58" s="4"/>
      <c r="Z58" s="4"/>
      <c r="AA58" s="4"/>
      <c r="AB58" s="5">
        <f t="shared" si="17"/>
        <v>1923</v>
      </c>
    </row>
    <row r="59" spans="1:28" x14ac:dyDescent="0.25">
      <c r="A59" s="3" t="s">
        <v>84</v>
      </c>
      <c r="B59" s="7">
        <f t="shared" ref="B59:U59" si="18">(B57)+(B58)</f>
        <v>785</v>
      </c>
      <c r="C59" s="7">
        <f t="shared" si="18"/>
        <v>0</v>
      </c>
      <c r="D59" s="7">
        <f t="shared" si="18"/>
        <v>0</v>
      </c>
      <c r="E59" s="7">
        <f t="shared" si="18"/>
        <v>0</v>
      </c>
      <c r="F59" s="7">
        <f t="shared" si="18"/>
        <v>0</v>
      </c>
      <c r="G59" s="7">
        <f t="shared" si="18"/>
        <v>0</v>
      </c>
      <c r="H59" s="7">
        <f t="shared" si="18"/>
        <v>0</v>
      </c>
      <c r="I59" s="7">
        <f t="shared" si="18"/>
        <v>0</v>
      </c>
      <c r="J59" s="7">
        <f t="shared" si="18"/>
        <v>0</v>
      </c>
      <c r="K59" s="7">
        <f t="shared" si="18"/>
        <v>0</v>
      </c>
      <c r="L59" s="7">
        <f t="shared" si="18"/>
        <v>0</v>
      </c>
      <c r="M59" s="7">
        <f t="shared" si="18"/>
        <v>0</v>
      </c>
      <c r="N59" s="7">
        <f t="shared" si="18"/>
        <v>0</v>
      </c>
      <c r="O59" s="7">
        <f t="shared" si="18"/>
        <v>0</v>
      </c>
      <c r="P59" s="7">
        <f t="shared" si="18"/>
        <v>0</v>
      </c>
      <c r="Q59" s="7">
        <f t="shared" si="18"/>
        <v>1138</v>
      </c>
      <c r="R59" s="7">
        <f t="shared" si="18"/>
        <v>0</v>
      </c>
      <c r="S59" s="7">
        <f t="shared" si="18"/>
        <v>0</v>
      </c>
      <c r="T59" s="7">
        <f t="shared" si="18"/>
        <v>0</v>
      </c>
      <c r="U59" s="7">
        <f t="shared" si="18"/>
        <v>0</v>
      </c>
      <c r="V59" s="7">
        <f t="shared" si="16"/>
        <v>0</v>
      </c>
      <c r="W59" s="7">
        <f>(W57)+(W58)</f>
        <v>0</v>
      </c>
      <c r="X59" s="7">
        <f>(X57)+(X58)</f>
        <v>0</v>
      </c>
      <c r="Y59" s="7">
        <f>(Y57)+(Y58)</f>
        <v>0</v>
      </c>
      <c r="Z59" s="7">
        <f>(Z57)+(Z58)</f>
        <v>0</v>
      </c>
      <c r="AA59" s="7">
        <f>(AA57)+(AA58)</f>
        <v>0</v>
      </c>
      <c r="AB59" s="7">
        <f t="shared" si="17"/>
        <v>1923</v>
      </c>
    </row>
    <row r="60" spans="1:28" x14ac:dyDescent="0.25">
      <c r="A60" s="3" t="s">
        <v>85</v>
      </c>
      <c r="B60" s="7">
        <f t="shared" ref="B60:U60" si="19">(B56)+(B59)</f>
        <v>785</v>
      </c>
      <c r="C60" s="7">
        <f t="shared" si="19"/>
        <v>0</v>
      </c>
      <c r="D60" s="7">
        <f t="shared" si="19"/>
        <v>0</v>
      </c>
      <c r="E60" s="7">
        <f t="shared" si="19"/>
        <v>0</v>
      </c>
      <c r="F60" s="7">
        <f t="shared" si="19"/>
        <v>0</v>
      </c>
      <c r="G60" s="7">
        <f t="shared" si="19"/>
        <v>0</v>
      </c>
      <c r="H60" s="7">
        <f t="shared" si="19"/>
        <v>0</v>
      </c>
      <c r="I60" s="7">
        <f t="shared" si="19"/>
        <v>0</v>
      </c>
      <c r="J60" s="7">
        <f t="shared" si="19"/>
        <v>0</v>
      </c>
      <c r="K60" s="7">
        <f t="shared" si="19"/>
        <v>0</v>
      </c>
      <c r="L60" s="7">
        <f t="shared" si="19"/>
        <v>0</v>
      </c>
      <c r="M60" s="7">
        <f t="shared" si="19"/>
        <v>0</v>
      </c>
      <c r="N60" s="7">
        <f t="shared" si="19"/>
        <v>0</v>
      </c>
      <c r="O60" s="7">
        <f t="shared" si="19"/>
        <v>0</v>
      </c>
      <c r="P60" s="7">
        <f t="shared" si="19"/>
        <v>0</v>
      </c>
      <c r="Q60" s="7">
        <f t="shared" si="19"/>
        <v>1138</v>
      </c>
      <c r="R60" s="7">
        <f t="shared" si="19"/>
        <v>0</v>
      </c>
      <c r="S60" s="7">
        <f t="shared" si="19"/>
        <v>0</v>
      </c>
      <c r="T60" s="7">
        <f t="shared" si="19"/>
        <v>0</v>
      </c>
      <c r="U60" s="7">
        <f t="shared" si="19"/>
        <v>1.1399999999999999</v>
      </c>
      <c r="V60" s="7">
        <f t="shared" si="16"/>
        <v>1.1399999999999999</v>
      </c>
      <c r="W60" s="7">
        <f>(W56)+(W59)</f>
        <v>0</v>
      </c>
      <c r="X60" s="7">
        <f>(X56)+(X59)</f>
        <v>0</v>
      </c>
      <c r="Y60" s="7">
        <f>(Y56)+(Y59)</f>
        <v>0</v>
      </c>
      <c r="Z60" s="7">
        <f>(Z56)+(Z59)</f>
        <v>0</v>
      </c>
      <c r="AA60" s="7">
        <f>(AA56)+(AA59)</f>
        <v>0</v>
      </c>
      <c r="AB60" s="7">
        <f t="shared" si="17"/>
        <v>1924.14</v>
      </c>
    </row>
    <row r="61" spans="1:28" x14ac:dyDescent="0.25">
      <c r="A61" s="3" t="s">
        <v>86</v>
      </c>
      <c r="B61" s="7">
        <f t="shared" ref="B61:U61" si="20">(B60)-(0)</f>
        <v>785</v>
      </c>
      <c r="C61" s="7">
        <f t="shared" si="20"/>
        <v>0</v>
      </c>
      <c r="D61" s="7">
        <f t="shared" si="20"/>
        <v>0</v>
      </c>
      <c r="E61" s="7">
        <f t="shared" si="20"/>
        <v>0</v>
      </c>
      <c r="F61" s="7">
        <f t="shared" si="20"/>
        <v>0</v>
      </c>
      <c r="G61" s="7">
        <f t="shared" si="20"/>
        <v>0</v>
      </c>
      <c r="H61" s="7">
        <f t="shared" si="20"/>
        <v>0</v>
      </c>
      <c r="I61" s="7">
        <f t="shared" si="20"/>
        <v>0</v>
      </c>
      <c r="J61" s="7">
        <f t="shared" si="20"/>
        <v>0</v>
      </c>
      <c r="K61" s="7">
        <f t="shared" si="20"/>
        <v>0</v>
      </c>
      <c r="L61" s="7">
        <f t="shared" si="20"/>
        <v>0</v>
      </c>
      <c r="M61" s="7">
        <f t="shared" si="20"/>
        <v>0</v>
      </c>
      <c r="N61" s="7">
        <f t="shared" si="20"/>
        <v>0</v>
      </c>
      <c r="O61" s="7">
        <f t="shared" si="20"/>
        <v>0</v>
      </c>
      <c r="P61" s="7">
        <f t="shared" si="20"/>
        <v>0</v>
      </c>
      <c r="Q61" s="7">
        <f t="shared" si="20"/>
        <v>1138</v>
      </c>
      <c r="R61" s="7">
        <f t="shared" si="20"/>
        <v>0</v>
      </c>
      <c r="S61" s="7">
        <f t="shared" si="20"/>
        <v>0</v>
      </c>
      <c r="T61" s="7">
        <f t="shared" si="20"/>
        <v>0</v>
      </c>
      <c r="U61" s="7">
        <f t="shared" si="20"/>
        <v>1.1399999999999999</v>
      </c>
      <c r="V61" s="7">
        <f t="shared" si="16"/>
        <v>1.1399999999999999</v>
      </c>
      <c r="W61" s="7">
        <f>(W60)-(0)</f>
        <v>0</v>
      </c>
      <c r="X61" s="7">
        <f>(X60)-(0)</f>
        <v>0</v>
      </c>
      <c r="Y61" s="7">
        <f>(Y60)-(0)</f>
        <v>0</v>
      </c>
      <c r="Z61" s="7">
        <f>(Z60)-(0)</f>
        <v>0</v>
      </c>
      <c r="AA61" s="7">
        <f>(AA60)-(0)</f>
        <v>0</v>
      </c>
      <c r="AB61" s="7">
        <f t="shared" si="17"/>
        <v>1924.14</v>
      </c>
    </row>
    <row r="62" spans="1:28" ht="15.75" thickBot="1" x14ac:dyDescent="0.3">
      <c r="A62" s="3" t="s">
        <v>87</v>
      </c>
      <c r="B62" s="7">
        <f t="shared" ref="B62:U62" si="21">(B54)+(B61)</f>
        <v>-8422.32</v>
      </c>
      <c r="C62" s="7">
        <f t="shared" si="21"/>
        <v>-4983.32</v>
      </c>
      <c r="D62" s="7">
        <f t="shared" si="21"/>
        <v>1033.33</v>
      </c>
      <c r="E62" s="7">
        <f t="shared" si="21"/>
        <v>-1238.27</v>
      </c>
      <c r="F62" s="7">
        <f t="shared" si="21"/>
        <v>-2569.62</v>
      </c>
      <c r="G62" s="7">
        <f t="shared" si="21"/>
        <v>-840.43</v>
      </c>
      <c r="H62" s="7">
        <f t="shared" si="21"/>
        <v>-5433.62</v>
      </c>
      <c r="I62" s="7">
        <f t="shared" si="21"/>
        <v>520</v>
      </c>
      <c r="J62" s="7">
        <f t="shared" si="21"/>
        <v>-1993.83</v>
      </c>
      <c r="K62" s="7">
        <f t="shared" si="21"/>
        <v>-3213.64</v>
      </c>
      <c r="L62" s="7">
        <f t="shared" si="21"/>
        <v>1775.9</v>
      </c>
      <c r="M62" s="7">
        <f t="shared" si="21"/>
        <v>-5139.24</v>
      </c>
      <c r="N62" s="7">
        <f t="shared" si="21"/>
        <v>-10472.43</v>
      </c>
      <c r="O62" s="7">
        <f t="shared" si="21"/>
        <v>-1907.1</v>
      </c>
      <c r="P62" s="7">
        <f t="shared" si="21"/>
        <v>-7910.6399999999994</v>
      </c>
      <c r="Q62" s="7">
        <f t="shared" si="21"/>
        <v>-3171.83</v>
      </c>
      <c r="R62" s="7">
        <f t="shared" si="21"/>
        <v>-4756.43</v>
      </c>
      <c r="S62" s="7">
        <f t="shared" si="21"/>
        <v>-3142.2</v>
      </c>
      <c r="T62" s="7">
        <f t="shared" si="21"/>
        <v>0</v>
      </c>
      <c r="U62" s="7">
        <f t="shared" si="21"/>
        <v>-12184.990000000003</v>
      </c>
      <c r="V62" s="7">
        <f t="shared" si="16"/>
        <v>-12184.990000000003</v>
      </c>
      <c r="W62" s="7">
        <f>(W54)+(W61)</f>
        <v>697.41</v>
      </c>
      <c r="X62" s="7">
        <f>(X54)+(X61)</f>
        <v>-2569.62</v>
      </c>
      <c r="Y62" s="7">
        <f>(Y54)+(Y61)</f>
        <v>-2386.33</v>
      </c>
      <c r="Z62" s="7">
        <f>(Z54)+(Z61)</f>
        <v>-2569.62</v>
      </c>
      <c r="AA62" s="7">
        <f>(AA54)+(AA61)</f>
        <v>5396.58</v>
      </c>
      <c r="AB62" s="7">
        <f t="shared" si="17"/>
        <v>-75482.25999999998</v>
      </c>
    </row>
    <row r="63" spans="1:28" s="10" customFormat="1" ht="12" thickBot="1" x14ac:dyDescent="0.25">
      <c r="A63" s="8" t="s">
        <v>121</v>
      </c>
      <c r="B63" s="9">
        <v>-7173.98</v>
      </c>
      <c r="C63" s="9">
        <v>888.85</v>
      </c>
      <c r="D63" s="9">
        <v>6388.06</v>
      </c>
      <c r="E63" s="9">
        <v>4335.09</v>
      </c>
      <c r="F63" s="9">
        <v>0</v>
      </c>
      <c r="G63" s="9">
        <v>3005.96</v>
      </c>
      <c r="H63" s="9">
        <v>4285.04</v>
      </c>
      <c r="I63" s="9">
        <v>-1693.94</v>
      </c>
      <c r="J63" s="9">
        <v>0</v>
      </c>
      <c r="K63" s="9">
        <v>1723.48</v>
      </c>
      <c r="L63" s="9">
        <v>5936.49</v>
      </c>
      <c r="M63" s="9">
        <v>2215.98</v>
      </c>
      <c r="N63" s="9">
        <v>22596.09</v>
      </c>
      <c r="O63" s="9">
        <v>-88.77</v>
      </c>
      <c r="P63" s="9">
        <v>6566.41</v>
      </c>
      <c r="Q63" s="9">
        <v>-647.16999999999996</v>
      </c>
      <c r="R63" s="9">
        <v>3466.43</v>
      </c>
      <c r="S63" s="9">
        <v>1292.67</v>
      </c>
      <c r="T63" s="9"/>
      <c r="U63" s="9"/>
      <c r="V63" s="9"/>
      <c r="W63" s="9">
        <v>677.84</v>
      </c>
      <c r="X63" s="9">
        <v>3378.55</v>
      </c>
      <c r="Y63" s="9">
        <v>6754.46</v>
      </c>
      <c r="Z63" s="9">
        <v>6680.92</v>
      </c>
      <c r="AA63" s="9"/>
      <c r="AB63" s="9"/>
    </row>
    <row r="64" spans="1:28" s="10" customFormat="1" ht="12" thickBot="1" x14ac:dyDescent="0.25">
      <c r="A64" s="11" t="s">
        <v>122</v>
      </c>
      <c r="B64" s="10">
        <f>B44</f>
        <v>7591.34</v>
      </c>
      <c r="C64" s="10">
        <v>0</v>
      </c>
      <c r="D64" s="10">
        <v>0</v>
      </c>
      <c r="E64" s="10">
        <v>0</v>
      </c>
      <c r="F64" s="10">
        <f>F44</f>
        <v>2569.62</v>
      </c>
      <c r="G64" s="10">
        <v>0</v>
      </c>
      <c r="H64" s="10">
        <f>H44</f>
        <v>5433.62</v>
      </c>
      <c r="I64" s="10">
        <v>0</v>
      </c>
      <c r="J64" s="10">
        <f>J44</f>
        <v>2513.83</v>
      </c>
      <c r="K64" s="10">
        <f>K44</f>
        <v>3213.64</v>
      </c>
      <c r="L64" s="10">
        <f>L44+L43</f>
        <v>2627.1</v>
      </c>
      <c r="M64" s="10">
        <f>M44</f>
        <v>5139.24</v>
      </c>
      <c r="N64" s="10">
        <f>5139.24</f>
        <v>5139.24</v>
      </c>
      <c r="O64" s="10">
        <f>O44+O43</f>
        <v>2557.1</v>
      </c>
      <c r="P64" s="10">
        <f>P44+P43</f>
        <v>7788.82</v>
      </c>
      <c r="Q64" s="10">
        <f>Q44+70</f>
        <v>5153.45</v>
      </c>
      <c r="R64" s="10">
        <f>R44</f>
        <v>5286.43</v>
      </c>
      <c r="S64" s="10">
        <f>S44</f>
        <v>2569.62</v>
      </c>
      <c r="W64" s="10">
        <v>0</v>
      </c>
      <c r="X64" s="10">
        <f>X44</f>
        <v>2569.62</v>
      </c>
      <c r="Y64" s="10">
        <f>Y44</f>
        <v>2513.83</v>
      </c>
      <c r="Z64" s="10">
        <f>Z44</f>
        <v>2569.62</v>
      </c>
    </row>
    <row r="65" spans="1:26" s="10" customFormat="1" ht="12" thickBot="1" x14ac:dyDescent="0.25">
      <c r="A65" s="11" t="s">
        <v>123</v>
      </c>
      <c r="B65" s="10">
        <f>B62+B64</f>
        <v>-830.97999999999956</v>
      </c>
      <c r="C65" s="10">
        <f t="shared" ref="C65:Z65" si="22">C62+C64</f>
        <v>-4983.32</v>
      </c>
      <c r="D65" s="10">
        <f t="shared" si="22"/>
        <v>1033.33</v>
      </c>
      <c r="E65" s="10">
        <f t="shared" si="22"/>
        <v>-1238.27</v>
      </c>
      <c r="F65" s="10">
        <f t="shared" si="22"/>
        <v>0</v>
      </c>
      <c r="G65" s="10">
        <f t="shared" si="22"/>
        <v>-840.43</v>
      </c>
      <c r="H65" s="10">
        <f t="shared" si="22"/>
        <v>0</v>
      </c>
      <c r="I65" s="10">
        <f t="shared" si="22"/>
        <v>520</v>
      </c>
      <c r="J65" s="10">
        <f t="shared" si="22"/>
        <v>520</v>
      </c>
      <c r="K65" s="10">
        <f t="shared" si="22"/>
        <v>0</v>
      </c>
      <c r="L65" s="10">
        <f t="shared" si="22"/>
        <v>4403</v>
      </c>
      <c r="M65" s="10">
        <f t="shared" si="22"/>
        <v>0</v>
      </c>
      <c r="N65" s="10">
        <f t="shared" si="22"/>
        <v>-5333.1900000000005</v>
      </c>
      <c r="O65" s="10">
        <f t="shared" si="22"/>
        <v>650</v>
      </c>
      <c r="P65" s="10">
        <f t="shared" si="22"/>
        <v>-121.81999999999971</v>
      </c>
      <c r="Q65" s="10">
        <f t="shared" si="22"/>
        <v>1981.62</v>
      </c>
      <c r="R65" s="10">
        <f t="shared" si="22"/>
        <v>530</v>
      </c>
      <c r="S65" s="10">
        <f t="shared" si="22"/>
        <v>-572.57999999999993</v>
      </c>
      <c r="W65" s="10">
        <f t="shared" si="22"/>
        <v>697.41</v>
      </c>
      <c r="X65" s="10">
        <f t="shared" si="22"/>
        <v>0</v>
      </c>
      <c r="Y65" s="10">
        <f t="shared" si="22"/>
        <v>127.5</v>
      </c>
      <c r="Z65" s="10">
        <f t="shared" si="22"/>
        <v>0</v>
      </c>
    </row>
    <row r="66" spans="1:26" s="10" customFormat="1" ht="12" thickBot="1" x14ac:dyDescent="0.25">
      <c r="A66" s="11" t="s">
        <v>124</v>
      </c>
      <c r="B66" s="10">
        <f>B63+B65</f>
        <v>-8004.9599999999991</v>
      </c>
      <c r="C66" s="10">
        <f t="shared" ref="C66:Z66" si="23">C63+C65</f>
        <v>-4094.47</v>
      </c>
      <c r="D66" s="10">
        <f t="shared" si="23"/>
        <v>7421.39</v>
      </c>
      <c r="E66" s="10">
        <f t="shared" si="23"/>
        <v>3096.82</v>
      </c>
      <c r="F66" s="10">
        <f t="shared" si="23"/>
        <v>0</v>
      </c>
      <c r="G66" s="10">
        <f t="shared" si="23"/>
        <v>2165.5300000000002</v>
      </c>
      <c r="H66" s="10">
        <f t="shared" si="23"/>
        <v>4285.04</v>
      </c>
      <c r="I66" s="10">
        <f t="shared" si="23"/>
        <v>-1173.94</v>
      </c>
      <c r="J66" s="10">
        <f t="shared" si="23"/>
        <v>520</v>
      </c>
      <c r="K66" s="10">
        <f t="shared" si="23"/>
        <v>1723.48</v>
      </c>
      <c r="L66" s="10">
        <f t="shared" si="23"/>
        <v>10339.49</v>
      </c>
      <c r="M66" s="10">
        <f t="shared" si="23"/>
        <v>2215.98</v>
      </c>
      <c r="N66" s="10">
        <f t="shared" si="23"/>
        <v>17262.900000000001</v>
      </c>
      <c r="O66" s="10">
        <f t="shared" si="23"/>
        <v>561.23</v>
      </c>
      <c r="P66" s="10">
        <f t="shared" si="23"/>
        <v>6444.59</v>
      </c>
      <c r="Q66" s="10">
        <f t="shared" si="23"/>
        <v>1334.4499999999998</v>
      </c>
      <c r="R66" s="10">
        <f t="shared" si="23"/>
        <v>3996.43</v>
      </c>
      <c r="S66" s="10">
        <f t="shared" si="23"/>
        <v>720.09000000000015</v>
      </c>
      <c r="W66" s="10">
        <f t="shared" si="23"/>
        <v>1375.25</v>
      </c>
      <c r="X66" s="10">
        <f t="shared" si="23"/>
        <v>3378.55</v>
      </c>
      <c r="Y66" s="10">
        <f t="shared" si="23"/>
        <v>6881.96</v>
      </c>
      <c r="Z66" s="10">
        <f t="shared" si="23"/>
        <v>6680.92</v>
      </c>
    </row>
    <row r="67" spans="1:26" ht="23.25" x14ac:dyDescent="0.25">
      <c r="B67" s="12" t="s">
        <v>125</v>
      </c>
      <c r="I67" s="12" t="s">
        <v>125</v>
      </c>
    </row>
  </sheetData>
  <mergeCells count="3">
    <mergeCell ref="A1:AB1"/>
    <mergeCell ref="A2:AB2"/>
    <mergeCell ref="A3:A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Financial Position</vt:lpstr>
      <vt:lpstr>Statement of Activity</vt:lpstr>
      <vt:lpstr>April Stmt of Activity</vt:lpstr>
      <vt:lpstr>April Stmt of Activity by Sport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Marconi Avenue Chiro</cp:lastModifiedBy>
  <dcterms:created xsi:type="dcterms:W3CDTF">2025-05-11T00:18:41Z</dcterms:created>
  <dcterms:modified xsi:type="dcterms:W3CDTF">2025-05-13T18:26:54Z</dcterms:modified>
</cp:coreProperties>
</file>