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Carrie\Documents\RAAB\"/>
    </mc:Choice>
  </mc:AlternateContent>
  <xr:revisionPtr revIDLastSave="0" documentId="8_{A928E09B-C928-406C-BCE6-3BD85163E4E7}" xr6:coauthVersionLast="47" xr6:coauthVersionMax="47" xr10:uidLastSave="{00000000-0000-0000-0000-000000000000}"/>
  <bookViews>
    <workbookView xWindow="3195" yWindow="3195" windowWidth="20670" windowHeight="11820" xr2:uid="{00000000-000D-0000-FFFF-FFFF00000000}"/>
  </bookViews>
  <sheets>
    <sheet name="BUDGET 24.25" sheetId="1" r:id="rId1"/>
    <sheet name="TEAM Summary" sheetId="2" r:id="rId2"/>
    <sheet name="Baseball" sheetId="3" r:id="rId3"/>
    <sheet name="Basketball - Boys" sheetId="4" r:id="rId4"/>
    <sheet name="Basketball - Girls" sheetId="5" r:id="rId5"/>
    <sheet name="Cheer" sheetId="6" r:id="rId6"/>
    <sheet name="Cross Country" sheetId="7" r:id="rId7"/>
    <sheet name="Flag Football" sheetId="8" r:id="rId8"/>
    <sheet name="Football" sheetId="9" r:id="rId9"/>
    <sheet name="Golf - Boys" sheetId="10" r:id="rId10"/>
    <sheet name="Golf - Girls" sheetId="11" r:id="rId11"/>
    <sheet name="Lacrosse - Boys" sheetId="12" r:id="rId12"/>
    <sheet name="Lacrosse - Girls" sheetId="13" r:id="rId13"/>
    <sheet name="Soccer - Boys" sheetId="14" r:id="rId14"/>
    <sheet name="Soccer - Girls" sheetId="15" r:id="rId15"/>
    <sheet name="Softball" sheetId="16" r:id="rId16"/>
    <sheet name="Swim &amp; Dive - Swim" sheetId="17" r:id="rId17"/>
    <sheet name="Swim &amp; Dive - Dive" sheetId="18" r:id="rId18"/>
    <sheet name="Tennis - Boys" sheetId="19" r:id="rId19"/>
    <sheet name="Tennis - Girls" sheetId="20" r:id="rId20"/>
    <sheet name="Track &amp; Field" sheetId="21" r:id="rId21"/>
    <sheet name="Volleyball - Boys" sheetId="22" r:id="rId22"/>
    <sheet name="Volleyball - Girls" sheetId="23" r:id="rId23"/>
    <sheet name="Water Polo - Boys" sheetId="24" r:id="rId24"/>
    <sheet name="Water Polo - Girls" sheetId="25" r:id="rId25"/>
    <sheet name="Wrestling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26" l="1"/>
  <c r="B53" i="26"/>
  <c r="C49" i="26"/>
  <c r="C54" i="26" s="1"/>
  <c r="B49" i="26"/>
  <c r="B54" i="26" s="1"/>
  <c r="B43" i="26"/>
  <c r="B44" i="26" s="1"/>
  <c r="C36" i="26"/>
  <c r="C26" i="26"/>
  <c r="B26" i="26"/>
  <c r="C16" i="26"/>
  <c r="B15" i="26"/>
  <c r="B17" i="26" s="1"/>
  <c r="B55" i="26" s="1"/>
  <c r="C9" i="26"/>
  <c r="F6" i="26"/>
  <c r="C35" i="26" s="1"/>
  <c r="F4" i="26"/>
  <c r="C53" i="25"/>
  <c r="B52" i="25"/>
  <c r="C50" i="25"/>
  <c r="C52" i="25" s="1"/>
  <c r="C48" i="25"/>
  <c r="B48" i="25"/>
  <c r="B53" i="25" s="1"/>
  <c r="B42" i="25"/>
  <c r="B43" i="25" s="1"/>
  <c r="B54" i="25" s="1"/>
  <c r="C41" i="25"/>
  <c r="C40" i="25"/>
  <c r="C39" i="25"/>
  <c r="C38" i="25"/>
  <c r="C37" i="25"/>
  <c r="C36" i="25"/>
  <c r="C56" i="25" s="1"/>
  <c r="C31" i="25"/>
  <c r="C30" i="25"/>
  <c r="C29" i="25"/>
  <c r="C28" i="25"/>
  <c r="C42" i="25" s="1"/>
  <c r="C43" i="25" s="1"/>
  <c r="K26" i="2" s="1"/>
  <c r="B26" i="25"/>
  <c r="C25" i="25"/>
  <c r="C26" i="25" s="1"/>
  <c r="C24" i="25"/>
  <c r="B17" i="25"/>
  <c r="C16" i="25"/>
  <c r="C15" i="25"/>
  <c r="C14" i="25"/>
  <c r="C13" i="25"/>
  <c r="C12" i="25"/>
  <c r="C17" i="25" s="1"/>
  <c r="C11" i="25"/>
  <c r="C10" i="25"/>
  <c r="C9" i="25"/>
  <c r="F6" i="25"/>
  <c r="C35" i="25" s="1"/>
  <c r="F4" i="25"/>
  <c r="B2" i="25"/>
  <c r="B53" i="24"/>
  <c r="C52" i="24"/>
  <c r="B52" i="24"/>
  <c r="C49" i="24"/>
  <c r="C48" i="24"/>
  <c r="C53" i="24" s="1"/>
  <c r="B48" i="24"/>
  <c r="B42" i="24"/>
  <c r="B43" i="24" s="1"/>
  <c r="C39" i="24"/>
  <c r="C38" i="24"/>
  <c r="C36" i="24"/>
  <c r="C56" i="24" s="1"/>
  <c r="H25" i="2" s="1"/>
  <c r="Q25" i="2" s="1"/>
  <c r="C35" i="24"/>
  <c r="C34" i="24"/>
  <c r="C33" i="24"/>
  <c r="C32" i="24"/>
  <c r="C31" i="24"/>
  <c r="C29" i="24"/>
  <c r="C26" i="24"/>
  <c r="B26" i="24"/>
  <c r="C17" i="24"/>
  <c r="B17" i="24"/>
  <c r="B54" i="24" s="1"/>
  <c r="B11" i="24"/>
  <c r="F4" i="24"/>
  <c r="B4" i="24"/>
  <c r="B2" i="24"/>
  <c r="C52" i="23"/>
  <c r="B52" i="23"/>
  <c r="C48" i="23"/>
  <c r="C53" i="23" s="1"/>
  <c r="B48" i="23"/>
  <c r="B53" i="23" s="1"/>
  <c r="B42" i="23"/>
  <c r="C41" i="23"/>
  <c r="C36" i="23"/>
  <c r="C28" i="23"/>
  <c r="C26" i="23"/>
  <c r="B26" i="23"/>
  <c r="B17" i="23"/>
  <c r="C9" i="23"/>
  <c r="C17" i="23" s="1"/>
  <c r="F6" i="23"/>
  <c r="C35" i="23" s="1"/>
  <c r="C42" i="23" s="1"/>
  <c r="C43" i="23" s="1"/>
  <c r="K24" i="2" s="1"/>
  <c r="F4" i="23"/>
  <c r="B2" i="23"/>
  <c r="M24" i="2" s="1"/>
  <c r="C56" i="22"/>
  <c r="C53" i="22"/>
  <c r="B53" i="22"/>
  <c r="C52" i="22"/>
  <c r="B52" i="22"/>
  <c r="C48" i="22"/>
  <c r="B48" i="22"/>
  <c r="C43" i="22"/>
  <c r="B43" i="22"/>
  <c r="C42" i="22"/>
  <c r="B42" i="22"/>
  <c r="C35" i="22"/>
  <c r="C26" i="22"/>
  <c r="B26" i="22"/>
  <c r="C17" i="22"/>
  <c r="B17" i="22"/>
  <c r="B54" i="22" s="1"/>
  <c r="F4" i="22"/>
  <c r="B54" i="21"/>
  <c r="B53" i="21"/>
  <c r="B52" i="21"/>
  <c r="C51" i="21"/>
  <c r="C52" i="21" s="1"/>
  <c r="C48" i="21"/>
  <c r="C53" i="21" s="1"/>
  <c r="B48" i="21"/>
  <c r="C46" i="21"/>
  <c r="B42" i="21"/>
  <c r="B43" i="21" s="1"/>
  <c r="C41" i="21"/>
  <c r="C36" i="21"/>
  <c r="C34" i="21"/>
  <c r="C33" i="21"/>
  <c r="C32" i="21"/>
  <c r="C31" i="21"/>
  <c r="C30" i="21"/>
  <c r="C29" i="21"/>
  <c r="C26" i="21"/>
  <c r="B26" i="21"/>
  <c r="B17" i="21"/>
  <c r="C15" i="21"/>
  <c r="C14" i="21"/>
  <c r="C13" i="21"/>
  <c r="C12" i="21"/>
  <c r="C11" i="21"/>
  <c r="C17" i="21" s="1"/>
  <c r="C10" i="21"/>
  <c r="C9" i="21"/>
  <c r="F6" i="21"/>
  <c r="C35" i="21" s="1"/>
  <c r="F4" i="21"/>
  <c r="B2" i="21"/>
  <c r="B53" i="20"/>
  <c r="C52" i="20"/>
  <c r="B52" i="20"/>
  <c r="C48" i="20"/>
  <c r="C53" i="20" s="1"/>
  <c r="B48" i="20"/>
  <c r="B43" i="20"/>
  <c r="C42" i="20"/>
  <c r="C43" i="20" s="1"/>
  <c r="B42" i="20"/>
  <c r="C35" i="20"/>
  <c r="C56" i="20" s="1"/>
  <c r="H21" i="2" s="1"/>
  <c r="Q21" i="2" s="1"/>
  <c r="C26" i="20"/>
  <c r="B26" i="20"/>
  <c r="C17" i="20"/>
  <c r="B17" i="20"/>
  <c r="B54" i="20" s="1"/>
  <c r="F4" i="20"/>
  <c r="C53" i="19"/>
  <c r="C52" i="19"/>
  <c r="B52" i="19"/>
  <c r="C48" i="19"/>
  <c r="B48" i="19"/>
  <c r="B53" i="19" s="1"/>
  <c r="C36" i="19"/>
  <c r="B33" i="19"/>
  <c r="B42" i="19" s="1"/>
  <c r="B43" i="19" s="1"/>
  <c r="B54" i="19" s="1"/>
  <c r="C26" i="19"/>
  <c r="B26" i="19"/>
  <c r="C17" i="19"/>
  <c r="B17" i="19"/>
  <c r="F6" i="19"/>
  <c r="C35" i="19" s="1"/>
  <c r="C42" i="19" s="1"/>
  <c r="C43" i="19" s="1"/>
  <c r="K20" i="2" s="1"/>
  <c r="F4" i="19"/>
  <c r="B20" i="2" s="1"/>
  <c r="C56" i="18"/>
  <c r="B53" i="18"/>
  <c r="B52" i="18"/>
  <c r="C51" i="18"/>
  <c r="C50" i="18"/>
  <c r="C52" i="18" s="1"/>
  <c r="C48" i="18"/>
  <c r="C53" i="18" s="1"/>
  <c r="B48" i="18"/>
  <c r="B43" i="18"/>
  <c r="B42" i="18"/>
  <c r="C35" i="18"/>
  <c r="C42" i="18" s="1"/>
  <c r="C26" i="18"/>
  <c r="B26" i="18"/>
  <c r="C17" i="18"/>
  <c r="B17" i="18"/>
  <c r="B54" i="18" s="1"/>
  <c r="C15" i="18"/>
  <c r="F4" i="18"/>
  <c r="C51" i="17"/>
  <c r="B51" i="17"/>
  <c r="B50" i="17"/>
  <c r="B52" i="17" s="1"/>
  <c r="B53" i="17" s="1"/>
  <c r="C48" i="17"/>
  <c r="B48" i="17"/>
  <c r="B42" i="17"/>
  <c r="B43" i="17" s="1"/>
  <c r="C26" i="17"/>
  <c r="B26" i="17"/>
  <c r="B17" i="17"/>
  <c r="C15" i="17"/>
  <c r="C17" i="17" s="1"/>
  <c r="F6" i="17"/>
  <c r="C35" i="17" s="1"/>
  <c r="F4" i="17"/>
  <c r="C53" i="16"/>
  <c r="C52" i="16"/>
  <c r="B52" i="16"/>
  <c r="C48" i="16"/>
  <c r="B48" i="16"/>
  <c r="B53" i="16" s="1"/>
  <c r="B42" i="16"/>
  <c r="B43" i="16" s="1"/>
  <c r="C41" i="16"/>
  <c r="C36" i="16"/>
  <c r="C35" i="16"/>
  <c r="C32" i="16"/>
  <c r="C31" i="16"/>
  <c r="C30" i="16"/>
  <c r="C29" i="16"/>
  <c r="C28" i="16"/>
  <c r="C26" i="16"/>
  <c r="B26" i="16"/>
  <c r="C17" i="16"/>
  <c r="B17" i="16"/>
  <c r="B11" i="16"/>
  <c r="F6" i="16"/>
  <c r="F4" i="16"/>
  <c r="B17" i="2" s="1"/>
  <c r="C56" i="15"/>
  <c r="C53" i="15"/>
  <c r="B53" i="15"/>
  <c r="C52" i="15"/>
  <c r="B52" i="15"/>
  <c r="C48" i="15"/>
  <c r="B48" i="15"/>
  <c r="B43" i="15"/>
  <c r="C42" i="15"/>
  <c r="B42" i="15"/>
  <c r="C36" i="15"/>
  <c r="C35" i="15"/>
  <c r="B33" i="15"/>
  <c r="C26" i="15"/>
  <c r="C43" i="15" s="1"/>
  <c r="K16" i="2" s="1"/>
  <c r="B26" i="15"/>
  <c r="C17" i="15"/>
  <c r="C54" i="15" s="1"/>
  <c r="C57" i="15" s="1"/>
  <c r="B17" i="15"/>
  <c r="F5" i="15"/>
  <c r="C56" i="14"/>
  <c r="C52" i="14"/>
  <c r="B52" i="14"/>
  <c r="C48" i="14"/>
  <c r="C53" i="14" s="1"/>
  <c r="B48" i="14"/>
  <c r="B42" i="14"/>
  <c r="B43" i="14" s="1"/>
  <c r="C37" i="14"/>
  <c r="C36" i="14"/>
  <c r="C35" i="14"/>
  <c r="B33" i="14"/>
  <c r="C33" i="14" s="1"/>
  <c r="C28" i="14"/>
  <c r="C42" i="14" s="1"/>
  <c r="C43" i="14" s="1"/>
  <c r="K15" i="2" s="1"/>
  <c r="C15" i="2" s="1"/>
  <c r="C26" i="14"/>
  <c r="B26" i="14"/>
  <c r="C17" i="14"/>
  <c r="B17" i="14"/>
  <c r="F4" i="14"/>
  <c r="B54" i="13"/>
  <c r="C53" i="13"/>
  <c r="B53" i="13"/>
  <c r="C51" i="13"/>
  <c r="B49" i="13"/>
  <c r="C47" i="13"/>
  <c r="C49" i="13" s="1"/>
  <c r="C44" i="13"/>
  <c r="B43" i="13"/>
  <c r="B44" i="13" s="1"/>
  <c r="C38" i="13"/>
  <c r="C36" i="13"/>
  <c r="C57" i="13" s="1"/>
  <c r="C35" i="13"/>
  <c r="C33" i="13"/>
  <c r="C32" i="13"/>
  <c r="C31" i="13"/>
  <c r="C30" i="13"/>
  <c r="C29" i="13"/>
  <c r="C28" i="13"/>
  <c r="C43" i="13" s="1"/>
  <c r="C26" i="13"/>
  <c r="B26" i="13"/>
  <c r="B17" i="13"/>
  <c r="C16" i="13"/>
  <c r="C15" i="13"/>
  <c r="C11" i="13"/>
  <c r="F6" i="13"/>
  <c r="F4" i="13"/>
  <c r="C53" i="12"/>
  <c r="C52" i="12"/>
  <c r="B50" i="12"/>
  <c r="B52" i="12" s="1"/>
  <c r="C48" i="12"/>
  <c r="B48" i="12"/>
  <c r="B53" i="12" s="1"/>
  <c r="B42" i="12"/>
  <c r="B43" i="12" s="1"/>
  <c r="C36" i="12"/>
  <c r="C35" i="12"/>
  <c r="C56" i="12" s="1"/>
  <c r="H13" i="2" s="1"/>
  <c r="Q13" i="2" s="1"/>
  <c r="C26" i="12"/>
  <c r="B26" i="12"/>
  <c r="C17" i="12"/>
  <c r="B17" i="12"/>
  <c r="F6" i="12"/>
  <c r="F4" i="12"/>
  <c r="B54" i="11"/>
  <c r="B53" i="11"/>
  <c r="B52" i="11"/>
  <c r="C50" i="11"/>
  <c r="C52" i="11" s="1"/>
  <c r="C48" i="11"/>
  <c r="B48" i="11"/>
  <c r="C46" i="11"/>
  <c r="B42" i="11"/>
  <c r="B43" i="11" s="1"/>
  <c r="C41" i="11"/>
  <c r="C37" i="11"/>
  <c r="C35" i="11"/>
  <c r="C56" i="11" s="1"/>
  <c r="H12" i="2" s="1"/>
  <c r="C33" i="11"/>
  <c r="C28" i="11"/>
  <c r="C42" i="11" s="1"/>
  <c r="C43" i="11" s="1"/>
  <c r="C26" i="11"/>
  <c r="B26" i="11"/>
  <c r="C17" i="11"/>
  <c r="B17" i="11"/>
  <c r="F4" i="11"/>
  <c r="C57" i="10"/>
  <c r="H11" i="2" s="1"/>
  <c r="B53" i="10"/>
  <c r="C52" i="10"/>
  <c r="C51" i="10"/>
  <c r="C53" i="10" s="1"/>
  <c r="B49" i="10"/>
  <c r="C48" i="10"/>
  <c r="C49" i="10" s="1"/>
  <c r="C44" i="10"/>
  <c r="B43" i="10"/>
  <c r="B44" i="10" s="1"/>
  <c r="C42" i="10"/>
  <c r="C38" i="10"/>
  <c r="C36" i="10"/>
  <c r="C43" i="10" s="1"/>
  <c r="C34" i="10"/>
  <c r="C27" i="10"/>
  <c r="B27" i="10"/>
  <c r="B18" i="10"/>
  <c r="C13" i="10"/>
  <c r="C12" i="10"/>
  <c r="C11" i="10"/>
  <c r="C10" i="10"/>
  <c r="C9" i="10"/>
  <c r="F6" i="10"/>
  <c r="F4" i="10"/>
  <c r="B11" i="2" s="1"/>
  <c r="C61" i="9"/>
  <c r="B58" i="9"/>
  <c r="C57" i="9"/>
  <c r="B57" i="9"/>
  <c r="C53" i="9"/>
  <c r="C58" i="9" s="1"/>
  <c r="B53" i="9"/>
  <c r="B48" i="9"/>
  <c r="B47" i="9"/>
  <c r="C45" i="9"/>
  <c r="C40" i="9"/>
  <c r="C39" i="9"/>
  <c r="C32" i="9"/>
  <c r="C47" i="9" s="1"/>
  <c r="C48" i="9" s="1"/>
  <c r="K9" i="2" s="1"/>
  <c r="C30" i="9"/>
  <c r="B30" i="9"/>
  <c r="B29" i="9"/>
  <c r="C26" i="9"/>
  <c r="C25" i="9"/>
  <c r="C20" i="9"/>
  <c r="C59" i="9" s="1"/>
  <c r="C62" i="9" s="1"/>
  <c r="B19" i="9"/>
  <c r="B20" i="9" s="1"/>
  <c r="C14" i="9"/>
  <c r="B11" i="9"/>
  <c r="F4" i="9"/>
  <c r="C53" i="8"/>
  <c r="B53" i="8"/>
  <c r="C49" i="8"/>
  <c r="B49" i="8"/>
  <c r="B54" i="8" s="1"/>
  <c r="C43" i="8"/>
  <c r="C44" i="8" s="1"/>
  <c r="B43" i="8"/>
  <c r="C38" i="8"/>
  <c r="C36" i="8"/>
  <c r="C57" i="8" s="1"/>
  <c r="H10" i="2" s="1"/>
  <c r="C35" i="8"/>
  <c r="C26" i="8"/>
  <c r="B26" i="8"/>
  <c r="C17" i="8"/>
  <c r="B17" i="8"/>
  <c r="F4" i="8"/>
  <c r="B55" i="7"/>
  <c r="C54" i="7"/>
  <c r="B54" i="7"/>
  <c r="C50" i="7"/>
  <c r="C55" i="7" s="1"/>
  <c r="B50" i="7"/>
  <c r="B45" i="7"/>
  <c r="B44" i="7"/>
  <c r="C37" i="7"/>
  <c r="C58" i="7" s="1"/>
  <c r="C36" i="7"/>
  <c r="C34" i="7"/>
  <c r="C44" i="7" s="1"/>
  <c r="C45" i="7" s="1"/>
  <c r="K8" i="2" s="1"/>
  <c r="C26" i="7"/>
  <c r="B26" i="7"/>
  <c r="C17" i="7"/>
  <c r="B17" i="7"/>
  <c r="B56" i="7" s="1"/>
  <c r="F4" i="7"/>
  <c r="B54" i="6"/>
  <c r="B53" i="6"/>
  <c r="C52" i="6"/>
  <c r="C53" i="6" s="1"/>
  <c r="C54" i="6" s="1"/>
  <c r="C49" i="6"/>
  <c r="B49" i="6"/>
  <c r="B43" i="6"/>
  <c r="B44" i="6" s="1"/>
  <c r="C39" i="6"/>
  <c r="C37" i="6"/>
  <c r="C36" i="6"/>
  <c r="C43" i="6" s="1"/>
  <c r="C44" i="6" s="1"/>
  <c r="K7" i="2" s="1"/>
  <c r="C33" i="6"/>
  <c r="C28" i="6"/>
  <c r="B28" i="6"/>
  <c r="B18" i="6"/>
  <c r="C11" i="6"/>
  <c r="C18" i="6" s="1"/>
  <c r="E7" i="2" s="1"/>
  <c r="F6" i="6"/>
  <c r="C54" i="5"/>
  <c r="C53" i="5"/>
  <c r="B53" i="5"/>
  <c r="B51" i="5"/>
  <c r="C49" i="5"/>
  <c r="B49" i="5"/>
  <c r="B54" i="5" s="1"/>
  <c r="B43" i="5"/>
  <c r="C36" i="5"/>
  <c r="C35" i="5"/>
  <c r="C26" i="5"/>
  <c r="B26" i="5"/>
  <c r="B44" i="5" s="1"/>
  <c r="B55" i="5" s="1"/>
  <c r="C17" i="5"/>
  <c r="B17" i="5"/>
  <c r="F4" i="5"/>
  <c r="C53" i="4"/>
  <c r="B53" i="4"/>
  <c r="C52" i="4"/>
  <c r="C51" i="4"/>
  <c r="C49" i="4"/>
  <c r="B49" i="4"/>
  <c r="B54" i="4" s="1"/>
  <c r="C46" i="4"/>
  <c r="C42" i="4"/>
  <c r="C39" i="4"/>
  <c r="C38" i="4"/>
  <c r="C36" i="4"/>
  <c r="C57" i="4" s="1"/>
  <c r="B36" i="4"/>
  <c r="B43" i="4" s="1"/>
  <c r="B44" i="4" s="1"/>
  <c r="C35" i="4"/>
  <c r="C34" i="4"/>
  <c r="C33" i="4"/>
  <c r="C32" i="4"/>
  <c r="C31" i="4"/>
  <c r="C30" i="4"/>
  <c r="C43" i="4" s="1"/>
  <c r="C29" i="4"/>
  <c r="C28" i="4"/>
  <c r="B26" i="4"/>
  <c r="C25" i="4"/>
  <c r="C24" i="4"/>
  <c r="C23" i="4"/>
  <c r="C22" i="4"/>
  <c r="C21" i="4"/>
  <c r="C26" i="4" s="1"/>
  <c r="B17" i="4"/>
  <c r="C15" i="4"/>
  <c r="C14" i="4"/>
  <c r="C13" i="4"/>
  <c r="C12" i="4"/>
  <c r="C11" i="4"/>
  <c r="C10" i="4"/>
  <c r="C9" i="4"/>
  <c r="F4" i="4"/>
  <c r="C55" i="3"/>
  <c r="H4" i="2" s="1"/>
  <c r="C51" i="3"/>
  <c r="B51" i="3"/>
  <c r="B49" i="3"/>
  <c r="C47" i="3"/>
  <c r="C52" i="3" s="1"/>
  <c r="B47" i="3"/>
  <c r="B52" i="3" s="1"/>
  <c r="B45" i="3"/>
  <c r="B36" i="3"/>
  <c r="C35" i="3"/>
  <c r="C34" i="3"/>
  <c r="C41" i="3" s="1"/>
  <c r="C42" i="3" s="1"/>
  <c r="B32" i="3"/>
  <c r="B41" i="3" s="1"/>
  <c r="B42" i="3" s="1"/>
  <c r="B53" i="3" s="1"/>
  <c r="C25" i="3"/>
  <c r="B25" i="3"/>
  <c r="C17" i="3"/>
  <c r="C53" i="3" s="1"/>
  <c r="C56" i="3" s="1"/>
  <c r="B17" i="3"/>
  <c r="F5" i="3"/>
  <c r="D28" i="2"/>
  <c r="M27" i="2"/>
  <c r="G27" i="2"/>
  <c r="B27" i="2"/>
  <c r="M26" i="2"/>
  <c r="H26" i="2"/>
  <c r="Q26" i="2" s="1"/>
  <c r="G26" i="2"/>
  <c r="B26" i="2"/>
  <c r="M25" i="2"/>
  <c r="G25" i="2"/>
  <c r="E25" i="2"/>
  <c r="B25" i="2"/>
  <c r="G24" i="2"/>
  <c r="B24" i="2"/>
  <c r="Q23" i="2"/>
  <c r="M23" i="2"/>
  <c r="N23" i="2" s="1"/>
  <c r="K23" i="2"/>
  <c r="C23" i="2" s="1"/>
  <c r="J23" i="2"/>
  <c r="H23" i="2"/>
  <c r="B23" i="2"/>
  <c r="M22" i="2"/>
  <c r="G22" i="2"/>
  <c r="B22" i="2"/>
  <c r="M21" i="2"/>
  <c r="G21" i="2"/>
  <c r="F21" i="2"/>
  <c r="E21" i="2"/>
  <c r="B21" i="2"/>
  <c r="M20" i="2"/>
  <c r="G20" i="2"/>
  <c r="F20" i="2"/>
  <c r="E20" i="2"/>
  <c r="G19" i="2"/>
  <c r="H19" i="2" s="1"/>
  <c r="Q19" i="2" s="1"/>
  <c r="E19" i="2"/>
  <c r="M18" i="2"/>
  <c r="G18" i="2"/>
  <c r="F18" i="2"/>
  <c r="B18" i="2"/>
  <c r="M17" i="2"/>
  <c r="G17" i="2"/>
  <c r="F17" i="2"/>
  <c r="E17" i="2"/>
  <c r="M16" i="2"/>
  <c r="H16" i="2"/>
  <c r="Q16" i="2" s="1"/>
  <c r="G16" i="2"/>
  <c r="E16" i="2"/>
  <c r="B16" i="2"/>
  <c r="M15" i="2"/>
  <c r="H15" i="2"/>
  <c r="Q15" i="2" s="1"/>
  <c r="G15" i="2"/>
  <c r="E15" i="2"/>
  <c r="L15" i="2" s="1"/>
  <c r="B15" i="2"/>
  <c r="Q14" i="2"/>
  <c r="M14" i="2"/>
  <c r="G14" i="2"/>
  <c r="B14" i="2"/>
  <c r="M13" i="2"/>
  <c r="G13" i="2"/>
  <c r="E13" i="2"/>
  <c r="B13" i="2"/>
  <c r="Q12" i="2"/>
  <c r="M12" i="2"/>
  <c r="E12" i="2"/>
  <c r="B12" i="2"/>
  <c r="Q11" i="2"/>
  <c r="M11" i="2"/>
  <c r="Q10" i="2"/>
  <c r="M10" i="2"/>
  <c r="G10" i="2"/>
  <c r="E10" i="2"/>
  <c r="B10" i="2"/>
  <c r="Q9" i="2"/>
  <c r="M9" i="2"/>
  <c r="H9" i="2"/>
  <c r="G9" i="2"/>
  <c r="F9" i="2"/>
  <c r="B9" i="2"/>
  <c r="M8" i="2"/>
  <c r="G8" i="2"/>
  <c r="H8" i="2" s="1"/>
  <c r="Q8" i="2" s="1"/>
  <c r="E8" i="2"/>
  <c r="B8" i="2"/>
  <c r="Q7" i="2"/>
  <c r="M7" i="2"/>
  <c r="B7" i="2"/>
  <c r="M6" i="2"/>
  <c r="G6" i="2"/>
  <c r="E6" i="2"/>
  <c r="B6" i="2"/>
  <c r="M5" i="2"/>
  <c r="H5" i="2"/>
  <c r="Q5" i="2" s="1"/>
  <c r="G5" i="2"/>
  <c r="B5" i="2"/>
  <c r="Q4" i="2"/>
  <c r="M4" i="2"/>
  <c r="K4" i="2"/>
  <c r="J4" i="2"/>
  <c r="G4" i="2"/>
  <c r="F4" i="2"/>
  <c r="F28" i="2" s="1"/>
  <c r="D68" i="1" s="1"/>
  <c r="E4" i="2"/>
  <c r="L4" i="2" s="1"/>
  <c r="B4" i="2"/>
  <c r="I109" i="1"/>
  <c r="I111" i="1" s="1"/>
  <c r="H109" i="1"/>
  <c r="H111" i="1" s="1"/>
  <c r="J107" i="1"/>
  <c r="I106" i="1"/>
  <c r="D94" i="1"/>
  <c r="D93" i="1"/>
  <c r="G105" i="1" s="1"/>
  <c r="D92" i="1"/>
  <c r="F105" i="1" s="1"/>
  <c r="C87" i="1"/>
  <c r="C88" i="1" s="1"/>
  <c r="B87" i="1"/>
  <c r="B88" i="1" s="1"/>
  <c r="D86" i="1"/>
  <c r="D87" i="1" s="1"/>
  <c r="D88" i="1" s="1"/>
  <c r="C86" i="1"/>
  <c r="B86" i="1"/>
  <c r="B71" i="1"/>
  <c r="C68" i="1"/>
  <c r="C71" i="1" s="1"/>
  <c r="B68" i="1"/>
  <c r="C64" i="1"/>
  <c r="C55" i="1"/>
  <c r="C79" i="1" s="1"/>
  <c r="C80" i="1" s="1"/>
  <c r="D54" i="1"/>
  <c r="C54" i="1"/>
  <c r="B54" i="1"/>
  <c r="C46" i="1"/>
  <c r="D45" i="1"/>
  <c r="D46" i="1" s="1"/>
  <c r="D42" i="1"/>
  <c r="D39" i="1"/>
  <c r="D38" i="1"/>
  <c r="B38" i="1"/>
  <c r="B46" i="1" s="1"/>
  <c r="C33" i="1"/>
  <c r="C30" i="1"/>
  <c r="C31" i="1" s="1"/>
  <c r="C89" i="1" s="1"/>
  <c r="C29" i="1"/>
  <c r="D28" i="1"/>
  <c r="B28" i="1"/>
  <c r="D24" i="1"/>
  <c r="C24" i="1"/>
  <c r="B24" i="1"/>
  <c r="B29" i="1" s="1"/>
  <c r="D8" i="1"/>
  <c r="C8" i="1"/>
  <c r="B8" i="1"/>
  <c r="B30" i="1" s="1"/>
  <c r="B31" i="1" s="1"/>
  <c r="D71" i="1" l="1"/>
  <c r="D69" i="1"/>
  <c r="F106" i="1" s="1"/>
  <c r="J106" i="1" s="1"/>
  <c r="L7" i="2"/>
  <c r="C20" i="2"/>
  <c r="J20" i="2"/>
  <c r="N20" i="2" s="1"/>
  <c r="J105" i="1"/>
  <c r="E22" i="2"/>
  <c r="C7" i="2"/>
  <c r="J7" i="2"/>
  <c r="B55" i="1"/>
  <c r="B79" i="1" s="1"/>
  <c r="B80" i="1" s="1"/>
  <c r="B81" i="1" s="1"/>
  <c r="B89" i="1" s="1"/>
  <c r="C56" i="17"/>
  <c r="H18" i="2" s="1"/>
  <c r="Q18" i="2" s="1"/>
  <c r="Q28" i="2" s="1"/>
  <c r="C42" i="17"/>
  <c r="C43" i="17" s="1"/>
  <c r="C24" i="2"/>
  <c r="C26" i="2"/>
  <c r="J26" i="2"/>
  <c r="B28" i="2"/>
  <c r="L6" i="2"/>
  <c r="J15" i="2"/>
  <c r="N15" i="2" s="1"/>
  <c r="C17" i="4"/>
  <c r="C54" i="4"/>
  <c r="B44" i="8"/>
  <c r="B55" i="8" s="1"/>
  <c r="E18" i="2"/>
  <c r="C56" i="19"/>
  <c r="H20" i="2" s="1"/>
  <c r="Q20" i="2" s="1"/>
  <c r="C56" i="21"/>
  <c r="H22" i="2" s="1"/>
  <c r="Q22" i="2" s="1"/>
  <c r="C54" i="22"/>
  <c r="C57" i="22" s="1"/>
  <c r="E23" i="2"/>
  <c r="C54" i="23"/>
  <c r="E24" i="2"/>
  <c r="C56" i="23"/>
  <c r="H24" i="2" s="1"/>
  <c r="Q24" i="2" s="1"/>
  <c r="C54" i="24"/>
  <c r="C57" i="24" s="1"/>
  <c r="C44" i="4"/>
  <c r="C9" i="2"/>
  <c r="J9" i="2"/>
  <c r="B54" i="12"/>
  <c r="B55" i="13"/>
  <c r="C4" i="2"/>
  <c r="M28" i="2"/>
  <c r="M35" i="2" s="1"/>
  <c r="B55" i="4"/>
  <c r="C18" i="10"/>
  <c r="C54" i="13"/>
  <c r="K14" i="2" s="1"/>
  <c r="B53" i="14"/>
  <c r="B54" i="14" s="1"/>
  <c r="B54" i="15"/>
  <c r="C56" i="16"/>
  <c r="H17" i="2" s="1"/>
  <c r="Q17" i="2" s="1"/>
  <c r="B54" i="17"/>
  <c r="C53" i="17"/>
  <c r="C54" i="17" s="1"/>
  <c r="C57" i="17" s="1"/>
  <c r="C43" i="18"/>
  <c r="C42" i="21"/>
  <c r="C43" i="21" s="1"/>
  <c r="K22" i="2" s="1"/>
  <c r="B43" i="23"/>
  <c r="B54" i="23" s="1"/>
  <c r="L8" i="2"/>
  <c r="N9" i="2"/>
  <c r="L20" i="2"/>
  <c r="O23" i="2"/>
  <c r="N26" i="2"/>
  <c r="C55" i="5"/>
  <c r="C58" i="5" s="1"/>
  <c r="C17" i="13"/>
  <c r="C54" i="19"/>
  <c r="C54" i="20"/>
  <c r="C57" i="20" s="1"/>
  <c r="K21" i="2"/>
  <c r="E26" i="2"/>
  <c r="C54" i="25"/>
  <c r="C57" i="25" s="1"/>
  <c r="C57" i="5"/>
  <c r="H6" i="2" s="1"/>
  <c r="Q6" i="2" s="1"/>
  <c r="C43" i="5"/>
  <c r="C44" i="5" s="1"/>
  <c r="K6" i="2" s="1"/>
  <c r="E9" i="2"/>
  <c r="L21" i="2"/>
  <c r="C55" i="6"/>
  <c r="C57" i="6" s="1"/>
  <c r="C56" i="7"/>
  <c r="C59" i="7" s="1"/>
  <c r="C54" i="8"/>
  <c r="K10" i="2" s="1"/>
  <c r="C54" i="10"/>
  <c r="K11" i="2" s="1"/>
  <c r="B54" i="16"/>
  <c r="C42" i="24"/>
  <c r="C43" i="24" s="1"/>
  <c r="K25" i="2" s="1"/>
  <c r="N4" i="2"/>
  <c r="C8" i="2"/>
  <c r="J8" i="2"/>
  <c r="F110" i="1"/>
  <c r="G28" i="2"/>
  <c r="B55" i="6"/>
  <c r="B59" i="9"/>
  <c r="B54" i="10"/>
  <c r="B55" i="10" s="1"/>
  <c r="C53" i="11"/>
  <c r="K12" i="2" s="1"/>
  <c r="C54" i="14"/>
  <c r="C57" i="14" s="1"/>
  <c r="L16" i="2"/>
  <c r="C16" i="2"/>
  <c r="J16" i="2"/>
  <c r="C42" i="16"/>
  <c r="C43" i="16" s="1"/>
  <c r="K17" i="2" s="1"/>
  <c r="L17" i="2" s="1"/>
  <c r="C54" i="18"/>
  <c r="C43" i="26"/>
  <c r="C44" i="26" s="1"/>
  <c r="K27" i="2" s="1"/>
  <c r="C57" i="26"/>
  <c r="H27" i="2" s="1"/>
  <c r="Q27" i="2" s="1"/>
  <c r="C42" i="12"/>
  <c r="C43" i="12" s="1"/>
  <c r="C50" i="17"/>
  <c r="C52" i="17" s="1"/>
  <c r="C15" i="26"/>
  <c r="C17" i="26" s="1"/>
  <c r="C55" i="13" l="1"/>
  <c r="C58" i="13" s="1"/>
  <c r="E14" i="2"/>
  <c r="P9" i="2"/>
  <c r="L9" i="2"/>
  <c r="C54" i="11"/>
  <c r="C57" i="11" s="1"/>
  <c r="C55" i="10"/>
  <c r="C58" i="10" s="1"/>
  <c r="E11" i="2"/>
  <c r="L22" i="2"/>
  <c r="K13" i="2"/>
  <c r="C54" i="12"/>
  <c r="C57" i="12" s="1"/>
  <c r="L26" i="2"/>
  <c r="C55" i="8"/>
  <c r="C58" i="8" s="1"/>
  <c r="C55" i="4"/>
  <c r="C58" i="4" s="1"/>
  <c r="E5" i="2"/>
  <c r="C54" i="21"/>
  <c r="C57" i="21" s="1"/>
  <c r="E27" i="2"/>
  <c r="C55" i="26"/>
  <c r="C58" i="26" s="1"/>
  <c r="C25" i="2"/>
  <c r="J25" i="2"/>
  <c r="C6" i="2"/>
  <c r="J6" i="2"/>
  <c r="C21" i="2"/>
  <c r="J21" i="2"/>
  <c r="O9" i="2"/>
  <c r="L24" i="2"/>
  <c r="L25" i="2"/>
  <c r="J11" i="2"/>
  <c r="C11" i="2"/>
  <c r="J12" i="2"/>
  <c r="C12" i="2"/>
  <c r="L12" i="2"/>
  <c r="C54" i="16"/>
  <c r="C57" i="16" s="1"/>
  <c r="J10" i="2"/>
  <c r="L10" i="2"/>
  <c r="C10" i="2"/>
  <c r="N16" i="2"/>
  <c r="O16" i="2" s="1"/>
  <c r="P16" i="2" s="1"/>
  <c r="O4" i="2"/>
  <c r="C27" i="2"/>
  <c r="J27" i="2"/>
  <c r="H28" i="2"/>
  <c r="D56" i="1" s="1"/>
  <c r="N8" i="2"/>
  <c r="O8" i="2" s="1"/>
  <c r="P8" i="2" s="1"/>
  <c r="J22" i="2"/>
  <c r="C22" i="2"/>
  <c r="C57" i="23"/>
  <c r="J24" i="2"/>
  <c r="N7" i="2"/>
  <c r="O7" i="2"/>
  <c r="P7" i="2" s="1"/>
  <c r="C57" i="18"/>
  <c r="K19" i="2"/>
  <c r="C57" i="19"/>
  <c r="C14" i="2"/>
  <c r="J14" i="2"/>
  <c r="K5" i="2"/>
  <c r="P23" i="2"/>
  <c r="L23" i="2"/>
  <c r="O26" i="2"/>
  <c r="P26" i="2" s="1"/>
  <c r="K18" i="2"/>
  <c r="C17" i="2"/>
  <c r="J17" i="2"/>
  <c r="O15" i="2"/>
  <c r="P15" i="2" s="1"/>
  <c r="O20" i="2"/>
  <c r="P20" i="2" s="1"/>
  <c r="C19" i="2" l="1"/>
  <c r="J19" i="2"/>
  <c r="L19" i="2"/>
  <c r="L5" i="2"/>
  <c r="E28" i="2"/>
  <c r="D29" i="1" s="1"/>
  <c r="C13" i="2"/>
  <c r="J13" i="2"/>
  <c r="L13" i="2"/>
  <c r="C5" i="2"/>
  <c r="J5" i="2"/>
  <c r="K28" i="2"/>
  <c r="N14" i="2"/>
  <c r="O14" i="2" s="1"/>
  <c r="P14" i="2" s="1"/>
  <c r="N21" i="2"/>
  <c r="O21" i="2" s="1"/>
  <c r="P21" i="2" s="1"/>
  <c r="L11" i="2"/>
  <c r="N22" i="2"/>
  <c r="O22" i="2" s="1"/>
  <c r="P22" i="2" s="1"/>
  <c r="P4" i="2"/>
  <c r="N10" i="2"/>
  <c r="O10" i="2" s="1"/>
  <c r="P10" i="2" s="1"/>
  <c r="N11" i="2"/>
  <c r="O11" i="2" s="1"/>
  <c r="P11" i="2" s="1"/>
  <c r="N25" i="2"/>
  <c r="O25" i="2" s="1"/>
  <c r="P25" i="2" s="1"/>
  <c r="N17" i="2"/>
  <c r="O17" i="2" s="1"/>
  <c r="P17" i="2" s="1"/>
  <c r="L14" i="2"/>
  <c r="N24" i="2"/>
  <c r="O24" i="2" s="1"/>
  <c r="P24" i="2" s="1"/>
  <c r="L27" i="2"/>
  <c r="C18" i="2"/>
  <c r="J18" i="2"/>
  <c r="N27" i="2"/>
  <c r="O27" i="2" s="1"/>
  <c r="P27" i="2" s="1"/>
  <c r="N12" i="2"/>
  <c r="O12" i="2" s="1"/>
  <c r="P12" i="2" s="1"/>
  <c r="L18" i="2"/>
  <c r="N6" i="2"/>
  <c r="O6" i="2"/>
  <c r="P6" i="2" s="1"/>
  <c r="G110" i="1" l="1"/>
  <c r="J110" i="1" s="1"/>
  <c r="D30" i="1"/>
  <c r="D31" i="1" s="1"/>
  <c r="N5" i="2"/>
  <c r="O5" i="2"/>
  <c r="J28" i="2"/>
  <c r="L28" i="2"/>
  <c r="N18" i="2"/>
  <c r="O18" i="2" s="1"/>
  <c r="P18" i="2" s="1"/>
  <c r="N13" i="2"/>
  <c r="O13" i="2" s="1"/>
  <c r="P13" i="2" s="1"/>
  <c r="N19" i="2"/>
  <c r="O19" i="2" s="1"/>
  <c r="P19" i="2" s="1"/>
  <c r="P5" i="2" l="1"/>
  <c r="P28" i="2" s="1"/>
  <c r="D57" i="1" s="1"/>
  <c r="F108" i="1" s="1"/>
  <c r="O28" i="2"/>
  <c r="N28" i="2"/>
  <c r="G108" i="1" s="1"/>
  <c r="G109" i="1" s="1"/>
  <c r="G111" i="1" s="1"/>
  <c r="J108" i="1" l="1"/>
  <c r="J109" i="1" s="1"/>
  <c r="J111" i="1" s="1"/>
  <c r="J112" i="1" s="1"/>
  <c r="F109" i="1"/>
  <c r="F111" i="1" s="1"/>
  <c r="D55" i="1"/>
  <c r="D79" i="1" s="1"/>
  <c r="D80" i="1" s="1"/>
  <c r="D81" i="1" s="1"/>
  <c r="D89" i="1" s="1"/>
  <c r="D96" i="1" s="1"/>
  <c r="D98" i="1" l="1"/>
  <c r="D9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9" authorId="0" shapeId="0" xr:uid="{00000000-0006-0000-0100-000001000000}">
      <text>
        <r>
          <rPr>
            <sz val="11"/>
            <color rgb="FF000000"/>
            <rFont val="Calibri"/>
            <scheme val="minor"/>
          </rPr>
          <t>Included in swim total
	-RAAB Treasurer</t>
        </r>
      </text>
    </comment>
  </commentList>
</comments>
</file>

<file path=xl/sharedStrings.xml><?xml version="1.0" encoding="utf-8"?>
<sst xmlns="http://schemas.openxmlformats.org/spreadsheetml/2006/main" count="2171" uniqueCount="523">
  <si>
    <t>Rio Americano Athletic Boosters</t>
  </si>
  <si>
    <t>Budget - 2024/2025</t>
  </si>
  <si>
    <t>22/23 ACTUALS</t>
  </si>
  <si>
    <t>23/24 ACTUALS</t>
  </si>
  <si>
    <t>BUDGET 24/25</t>
  </si>
  <si>
    <t>COMMENTS</t>
  </si>
  <si>
    <t>Revenue</t>
  </si>
  <si>
    <t xml:space="preserve">   Donations</t>
  </si>
  <si>
    <t>General RAAB Donations (based on PY)</t>
  </si>
  <si>
    <t xml:space="preserve">      Scholarship donations</t>
  </si>
  <si>
    <t xml:space="preserve">   Total Donations</t>
  </si>
  <si>
    <t xml:space="preserve">   Fundraising Income</t>
  </si>
  <si>
    <t xml:space="preserve">      Apparel Sales</t>
  </si>
  <si>
    <t>Trucker Hats</t>
  </si>
  <si>
    <t xml:space="preserve">      Banner advertising</t>
  </si>
  <si>
    <t>Based on PY Actual</t>
  </si>
  <si>
    <t xml:space="preserve">      Cheer</t>
  </si>
  <si>
    <t>See Team Budgets</t>
  </si>
  <si>
    <t xml:space="preserve">      Discount cards</t>
  </si>
  <si>
    <t xml:space="preserve">      Firework Booth</t>
  </si>
  <si>
    <t xml:space="preserve">Based on PY Actual </t>
  </si>
  <si>
    <t xml:space="preserve">     Golf tournament</t>
  </si>
  <si>
    <t xml:space="preserve">     Hall of Fame Event</t>
  </si>
  <si>
    <t xml:space="preserve">     Investment Income</t>
  </si>
  <si>
    <t>Investment CDs held at Bank of America - Expected interest</t>
  </si>
  <si>
    <t xml:space="preserve">     Spring event</t>
  </si>
  <si>
    <t>No Event Planned</t>
  </si>
  <si>
    <t xml:space="preserve">     Fall event</t>
  </si>
  <si>
    <t xml:space="preserve">     Legacy Brick Sales</t>
  </si>
  <si>
    <r>
      <rPr>
        <sz val="8"/>
        <color rgb="FF000000"/>
        <rFont val="Arial"/>
        <family val="2"/>
      </rPr>
      <t xml:space="preserve">Legacy Brick Sales - Funds </t>
    </r>
    <r>
      <rPr>
        <i/>
        <sz val="8"/>
        <color rgb="FF000000"/>
        <rFont val="Arial"/>
        <family val="2"/>
      </rPr>
      <t>Field of Dreams</t>
    </r>
    <r>
      <rPr>
        <sz val="8"/>
        <color rgb="FF000000"/>
        <rFont val="Arial"/>
        <family val="2"/>
      </rPr>
      <t xml:space="preserve"> (Capital Improvements)</t>
    </r>
  </si>
  <si>
    <t xml:space="preserve">      SCRIP Sales</t>
  </si>
  <si>
    <t>No SCRIP expected in 23/24</t>
  </si>
  <si>
    <t xml:space="preserve">      Snack Bar Income</t>
  </si>
  <si>
    <t xml:space="preserve">      SNAP</t>
  </si>
  <si>
    <t xml:space="preserve">   Total Fundraising Income</t>
  </si>
  <si>
    <t xml:space="preserve">   Membership</t>
  </si>
  <si>
    <t>RAAB Dues</t>
  </si>
  <si>
    <t xml:space="preserve">   Summer Program Income</t>
  </si>
  <si>
    <t xml:space="preserve">   Total Summer Program Income</t>
  </si>
  <si>
    <t>TEAM INCOME</t>
  </si>
  <si>
    <t>!Summary</t>
  </si>
  <si>
    <t>Total Revenue</t>
  </si>
  <si>
    <t>Gross Profit</t>
  </si>
  <si>
    <t>Expenditures</t>
  </si>
  <si>
    <t xml:space="preserve">   Administrative Expenses</t>
  </si>
  <si>
    <t xml:space="preserve">Misc. Admin Expenses ** Includes $7,353.40 for Score Table in 23/24** </t>
  </si>
  <si>
    <t xml:space="preserve">     Donation to Rio - Field of Dreams</t>
  </si>
  <si>
    <r>
      <rPr>
        <i/>
        <sz val="8"/>
        <color rgb="FF000000"/>
        <rFont val="Arial"/>
        <family val="2"/>
      </rPr>
      <t>Field of Dreams</t>
    </r>
    <r>
      <rPr>
        <sz val="8"/>
        <color rgb="FF000000"/>
        <rFont val="Arial"/>
        <family val="2"/>
      </rPr>
      <t xml:space="preserve"> is now funded by Legacy Bricks.</t>
    </r>
  </si>
  <si>
    <t xml:space="preserve">     Annual Chartable Trust Tax</t>
  </si>
  <si>
    <t xml:space="preserve">      Athletic Trainer</t>
  </si>
  <si>
    <r>
      <rPr>
        <b/>
        <sz val="8"/>
        <color rgb="FFFF0000"/>
        <rFont val="Arial"/>
        <family val="2"/>
      </rPr>
      <t>RAAB cannot fund full time AT in 23/24</t>
    </r>
    <r>
      <rPr>
        <b/>
        <sz val="8"/>
        <color rgb="FF000000"/>
        <rFont val="Arial"/>
        <family val="2"/>
      </rPr>
      <t xml:space="preserve"> - </t>
    </r>
    <r>
      <rPr>
        <sz val="8"/>
        <color rgb="FF000000"/>
        <rFont val="Arial"/>
        <family val="2"/>
      </rPr>
      <t xml:space="preserve">Estimated cost - $45/hour X 16 hours week X 47 weeks plus 8.84% ER tax (approx $37k)  Agreed to split cost of AT with teams willing to split cost.  </t>
    </r>
    <r>
      <rPr>
        <i/>
        <sz val="8"/>
        <color rgb="FF000000"/>
        <rFont val="Arial"/>
        <family val="2"/>
      </rPr>
      <t>See Team Budgets</t>
    </r>
  </si>
  <si>
    <t xml:space="preserve">      Bank Charges</t>
  </si>
  <si>
    <t>Not expected in 2024 as membership fees are covered now by paying through TeamSNAP and any donations through Square re reflected net of fees to the Team donations</t>
  </si>
  <si>
    <t xml:space="preserve">      Legal and professional fees</t>
  </si>
  <si>
    <t>Tax return $1300, legal fees $800, voided old, uncashed check</t>
  </si>
  <si>
    <t xml:space="preserve">      Liability Insurance</t>
  </si>
  <si>
    <t>Based on PY (22/23 + 5%)</t>
  </si>
  <si>
    <t xml:space="preserve">      Postage</t>
  </si>
  <si>
    <t xml:space="preserve">Stamps/envelopes  </t>
  </si>
  <si>
    <t xml:space="preserve">      Scholar Athlete Award</t>
  </si>
  <si>
    <t>Based on PY - Covered by Jack Scott Restricted Funds - Keep JS balance at $1k</t>
  </si>
  <si>
    <t xml:space="preserve">      Supplies</t>
  </si>
  <si>
    <t>Misc. Office Supplies, paper, ink</t>
  </si>
  <si>
    <t xml:space="preserve">      Website</t>
  </si>
  <si>
    <t>Based on PY (TEAMSNAP)</t>
  </si>
  <si>
    <t xml:space="preserve">      HUDL</t>
  </si>
  <si>
    <t>HUDL (3 year contract, $10k first year, $9k second &amp; third year) available for use by all sports.</t>
  </si>
  <si>
    <t xml:space="preserve">      Technology</t>
  </si>
  <si>
    <t>QB online fees - $90/month + Mailchimp $30/month</t>
  </si>
  <si>
    <t xml:space="preserve">   Total Administrative Expenses</t>
  </si>
  <si>
    <t xml:space="preserve">   Fundraising Expenses</t>
  </si>
  <si>
    <t xml:space="preserve">      Banner purchases</t>
  </si>
  <si>
    <t>Based on PY</t>
  </si>
  <si>
    <t>Security + Taxes (based on PY)</t>
  </si>
  <si>
    <t xml:space="preserve">      Spring event (Game On)</t>
  </si>
  <si>
    <t xml:space="preserve">      Golf Tournament</t>
  </si>
  <si>
    <t>Estimated based on PY</t>
  </si>
  <si>
    <t xml:space="preserve">      Hall of Fame</t>
  </si>
  <si>
    <t>Trophies</t>
  </si>
  <si>
    <t xml:space="preserve">      SCRIP costs</t>
  </si>
  <si>
    <t xml:space="preserve">   Total Fundraising Expenses (GF)</t>
  </si>
  <si>
    <t xml:space="preserve">   Sports Team Expenses</t>
  </si>
  <si>
    <t xml:space="preserve">   RAAB Covered Team Expenses</t>
  </si>
  <si>
    <t>ie - Uniforms every 3-4 years, Senior Banners, Split Athletic Trainer cost</t>
  </si>
  <si>
    <t xml:space="preserve">   Additional Team Fundraising Needs</t>
  </si>
  <si>
    <t>Expected Shortage of team funds</t>
  </si>
  <si>
    <t xml:space="preserve">      Athletic Equipment</t>
  </si>
  <si>
    <t xml:space="preserve">      Capital Equipment</t>
  </si>
  <si>
    <t xml:space="preserve">      Coach Training/Certifications</t>
  </si>
  <si>
    <t xml:space="preserve">      Facility fees</t>
  </si>
  <si>
    <t xml:space="preserve">      Field Maintenance</t>
  </si>
  <si>
    <t xml:space="preserve">      Finger Printing Reimbursements</t>
  </si>
  <si>
    <t xml:space="preserve">      General Programs Expense</t>
  </si>
  <si>
    <t>* Adjustment for stale, uncashed checks</t>
  </si>
  <si>
    <t xml:space="preserve">      Office supplies</t>
  </si>
  <si>
    <t xml:space="preserve">      Permit Fees</t>
  </si>
  <si>
    <t xml:space="preserve">      Senior gifts</t>
  </si>
  <si>
    <t xml:space="preserve">      Stipends (2023/2024)</t>
  </si>
  <si>
    <t>!Summary - 2023/2024 Stipends to be paid in 2024/2025, current year stipends will be paid next year</t>
  </si>
  <si>
    <t xml:space="preserve">      Payroll taxes</t>
  </si>
  <si>
    <t>Calculated 8.84% of estimated stipends - % billed to RAAB by District</t>
  </si>
  <si>
    <t xml:space="preserve">      Stipends - 22/23</t>
  </si>
  <si>
    <t xml:space="preserve">      Total Stipends</t>
  </si>
  <si>
    <t xml:space="preserve">      Team Awards/Celebration</t>
  </si>
  <si>
    <t xml:space="preserve">      Team Camps</t>
  </si>
  <si>
    <t xml:space="preserve">      Team Meals</t>
  </si>
  <si>
    <t xml:space="preserve">      Team Travel</t>
  </si>
  <si>
    <t xml:space="preserve">      Team Uniforms</t>
  </si>
  <si>
    <t xml:space="preserve">      Tournament Fees</t>
  </si>
  <si>
    <t xml:space="preserve">   Total Sports Team Expenses</t>
  </si>
  <si>
    <t>Total Expenditures</t>
  </si>
  <si>
    <t>Net Operating Revenue</t>
  </si>
  <si>
    <t>Other Revenue</t>
  </si>
  <si>
    <t xml:space="preserve">   Interest Income</t>
  </si>
  <si>
    <t xml:space="preserve">   Pass-Through Income</t>
  </si>
  <si>
    <t xml:space="preserve">      Player Packs</t>
  </si>
  <si>
    <t xml:space="preserve">   Total Pass-Through Income</t>
  </si>
  <si>
    <t>Total Other Revenue</t>
  </si>
  <si>
    <t>Net Other Revenue</t>
  </si>
  <si>
    <t>Net Income (Loss)</t>
  </si>
  <si>
    <t>Beginning Net Assets:</t>
  </si>
  <si>
    <t>As of: 5/31/24</t>
  </si>
  <si>
    <t>Unrestricted</t>
  </si>
  <si>
    <t>Restricted</t>
  </si>
  <si>
    <t>Estimated Ending Net Assets</t>
  </si>
  <si>
    <t>% Reserves of Total Expenses</t>
  </si>
  <si>
    <t>Goal = 100%, or 1 year of operating expenses to start each fiscal year</t>
  </si>
  <si>
    <t>Months of Reserves</t>
  </si>
  <si>
    <t>Goal = 1 year (12 months) of expenses to start each fiscal year</t>
  </si>
  <si>
    <t>Budget Guidelines:</t>
  </si>
  <si>
    <t>Cover Coaching Stipends - first priority</t>
  </si>
  <si>
    <t>Board Discusses what additional expenses to cover in June meeting</t>
  </si>
  <si>
    <t>BUDGET RECAP/ANALYSIS:</t>
  </si>
  <si>
    <t>Restricted Funds</t>
  </si>
  <si>
    <t>Restricted - Field of Dreams</t>
  </si>
  <si>
    <t>Restricted - Jack Scott Tournament</t>
  </si>
  <si>
    <t>TOTAL</t>
  </si>
  <si>
    <t>BEGINNING BALANCE  - CASH</t>
  </si>
  <si>
    <t>EXPENSES - (ADMIN + STIPENDS + FUNDRAISNG EXPENSES)</t>
  </si>
  <si>
    <t>EXPENSES -FIELD OF DREAMS</t>
  </si>
  <si>
    <r>
      <rPr>
        <sz val="11"/>
        <color rgb="FF000000"/>
        <rFont val="Calibri"/>
        <family val="2"/>
      </rPr>
      <t xml:space="preserve">EXPENSES - TEAM EXP - UNRESTRICTED/RESTRICTED - See </t>
    </r>
    <r>
      <rPr>
        <sz val="11"/>
        <color rgb="FFFF0000"/>
        <rFont val="Calibri"/>
        <family val="2"/>
      </rPr>
      <t xml:space="preserve">!TEAM Summary </t>
    </r>
    <r>
      <rPr>
        <sz val="11"/>
        <color rgb="FF000000"/>
        <rFont val="Calibri"/>
        <family val="2"/>
      </rPr>
      <t>tab</t>
    </r>
  </si>
  <si>
    <t>BALANCE</t>
  </si>
  <si>
    <t>BUDGETED  - ESTIMATED REVENUES (for 24/25 FY BUDGET)</t>
  </si>
  <si>
    <t>ENDING BALANCE - CASH</t>
  </si>
  <si>
    <t>TEAM Summary</t>
  </si>
  <si>
    <t>ATHLETES</t>
  </si>
  <si>
    <t>INCOME</t>
  </si>
  <si>
    <t>EXPENSES</t>
  </si>
  <si>
    <t>NET BUDGET</t>
  </si>
  <si>
    <t>Sports</t>
  </si>
  <si>
    <t>Athletes</t>
  </si>
  <si>
    <t>Cost/Athlete</t>
  </si>
  <si>
    <t>Number of Athletes that paid RAAB dues in 23/24</t>
  </si>
  <si>
    <t>Budgeted Team Fundraising</t>
  </si>
  <si>
    <t>Budgeted &amp; Filled 2023/2024 Stipends</t>
  </si>
  <si>
    <t>2024/2025 Budgeted Stipends - Covered by RAAB General in 2025/2026</t>
  </si>
  <si>
    <t>Budgeted Items covered by RAAB General Funds</t>
  </si>
  <si>
    <t>Items covered by General Funds for 2024/2025</t>
  </si>
  <si>
    <t>Other Expenses</t>
  </si>
  <si>
    <t>Total Expenses (Net of Pass-through Income)</t>
  </si>
  <si>
    <t>Net Budget</t>
  </si>
  <si>
    <t>Restricted Team Funds Available as of 5.31.24*</t>
  </si>
  <si>
    <t>Expenses to Be Funded with Existing Restricted Funds</t>
  </si>
  <si>
    <t>Expenses to Be Funded with Restricted Funds Raised 2024/2025</t>
  </si>
  <si>
    <t>Additional Fundraising Needed         (See Team Tabs)</t>
  </si>
  <si>
    <t>Expected Unrestricted Funds to be Used (not counting Stipends)</t>
  </si>
  <si>
    <t xml:space="preserve">Baseball </t>
  </si>
  <si>
    <t>Stipends</t>
  </si>
  <si>
    <t>Basketball Boys</t>
  </si>
  <si>
    <t>Basketball Girls</t>
  </si>
  <si>
    <t>Stipend + Shortage</t>
  </si>
  <si>
    <t>Cheer</t>
  </si>
  <si>
    <t>(none)</t>
  </si>
  <si>
    <t>Cross Country</t>
  </si>
  <si>
    <t>Stipend</t>
  </si>
  <si>
    <t>Football</t>
  </si>
  <si>
    <t>Stipends + Uniforms + Athletic Trainer</t>
  </si>
  <si>
    <t>Flag Football - Girls</t>
  </si>
  <si>
    <t>Stipends + Uniforms</t>
  </si>
  <si>
    <t>Golf-Boys</t>
  </si>
  <si>
    <t>Shortage</t>
  </si>
  <si>
    <t>Golf-Girls</t>
  </si>
  <si>
    <t>Lacrosse - Boys</t>
  </si>
  <si>
    <t>Lacrosse - Girls</t>
  </si>
  <si>
    <t>Soccer-Boys</t>
  </si>
  <si>
    <t>Soccer - Girls</t>
  </si>
  <si>
    <t>2 Stipends (2 covered by restricted funds)</t>
  </si>
  <si>
    <t>Softball</t>
  </si>
  <si>
    <t>Swim &amp; Dive - SWIM</t>
  </si>
  <si>
    <t>Swim &amp; Dive - DIVE</t>
  </si>
  <si>
    <t>Tennis - Boys</t>
  </si>
  <si>
    <t>Tennis - Girls</t>
  </si>
  <si>
    <t>Track &amp; Field</t>
  </si>
  <si>
    <t>Volleyball - Boys</t>
  </si>
  <si>
    <t>Uniforms</t>
  </si>
  <si>
    <t>Volleyball - Girls</t>
  </si>
  <si>
    <t xml:space="preserve">Stipend  </t>
  </si>
  <si>
    <t>Water Polo - Boys</t>
  </si>
  <si>
    <t>Stipend + Uniform caps</t>
  </si>
  <si>
    <t>Water Polo - Girls</t>
  </si>
  <si>
    <t>Wrestling</t>
  </si>
  <si>
    <t>Stiped + Uniform</t>
  </si>
  <si>
    <t>TOTALS</t>
  </si>
  <si>
    <t>2024/2025</t>
  </si>
  <si>
    <t>2025/2026</t>
  </si>
  <si>
    <t>Senior Banners covered for all teams</t>
  </si>
  <si>
    <t>Budget</t>
  </si>
  <si>
    <t>($35 each)</t>
  </si>
  <si>
    <t>OTHER RESTRICTED FUNDS:</t>
  </si>
  <si>
    <t>Field of Dreams (Capital Improvements)</t>
  </si>
  <si>
    <t>2024 - 2025 - CONTRIBUTION DUES</t>
  </si>
  <si>
    <t>Jack Scott (Scholarship)</t>
  </si>
  <si>
    <t>Pool Scoreboard (Boys Water Polo)</t>
  </si>
  <si>
    <t>R.A.A.B. Annual Membership Donation Fees</t>
  </si>
  <si>
    <t>$1500 Raider Gold Sports Booster</t>
  </si>
  <si>
    <t>- Very proud to support Raider Athletics</t>
  </si>
  <si>
    <t>- Recognition throughout the school year</t>
  </si>
  <si>
    <t>- $100 gift card for Raider Spirit Wear on BSN Sports. </t>
  </si>
  <si>
    <t>$1000 Raider Green Sports Booster</t>
  </si>
  <si>
    <t>- Proud to support Raider Athletics</t>
  </si>
  <si>
    <t>- Recognition throughout the school year</t>
  </si>
  <si>
    <t>- $50 gift card towards Raider Spirit Wear on BSN Sports.</t>
  </si>
  <si>
    <t>$500 Raider Family Sports Booster, multiple athletes/multiple sports</t>
  </si>
  <si>
    <t>$300 Multi-Sport, single athlete</t>
  </si>
  <si>
    <t>$150 Single-Sport, single athlete</t>
  </si>
  <si>
    <t>Head Coach:</t>
  </si>
  <si>
    <t xml:space="preserve">Number of Athletes Expected: </t>
  </si>
  <si>
    <t>Team Restricted Funds Balance as of 5/31/24</t>
  </si>
  <si>
    <t xml:space="preserve">Ron Hall </t>
  </si>
  <si>
    <t>Varsity</t>
  </si>
  <si>
    <t>23/24 Estimates</t>
  </si>
  <si>
    <t>RioAmericanoBaseball49@gmail.com</t>
  </si>
  <si>
    <t>JV + Frosh</t>
  </si>
  <si>
    <t>Total:</t>
  </si>
  <si>
    <t>Seniors</t>
  </si>
  <si>
    <t>Estimate</t>
  </si>
  <si>
    <t>23/24 Actuals</t>
  </si>
  <si>
    <t>24/25 BUDGET</t>
  </si>
  <si>
    <t>Donations to Baseball Program</t>
  </si>
  <si>
    <t xml:space="preserve">   Banner Advertising Income</t>
  </si>
  <si>
    <t>18K Gold</t>
  </si>
  <si>
    <t xml:space="preserve">   Golf Tournament Income</t>
  </si>
  <si>
    <t>Proceeds from Team Basket at RAAB Golf Tournament</t>
  </si>
  <si>
    <t xml:space="preserve">   Snack Bar Income</t>
  </si>
  <si>
    <t xml:space="preserve">   Fall Ball</t>
  </si>
  <si>
    <t>Fall Ball</t>
  </si>
  <si>
    <t xml:space="preserve">   Vertical Raise/SNAP Income</t>
  </si>
  <si>
    <t>Vertical Raise</t>
  </si>
  <si>
    <t xml:space="preserve">   Other Fundraising Income</t>
  </si>
  <si>
    <t xml:space="preserve">      Banner Expense</t>
  </si>
  <si>
    <t xml:space="preserve">      Snack Bar Expense</t>
  </si>
  <si>
    <t xml:space="preserve">      Summer Program Expense</t>
  </si>
  <si>
    <t xml:space="preserve">      Other Fundraising Expense</t>
  </si>
  <si>
    <t xml:space="preserve">   Total Fundraising Expenses</t>
  </si>
  <si>
    <t>Cage Turf. Portable Mounds</t>
  </si>
  <si>
    <t xml:space="preserve">      Coach Apparel</t>
  </si>
  <si>
    <t>Jackets, Shirts</t>
  </si>
  <si>
    <t>Additional Field Mix needed</t>
  </si>
  <si>
    <t>Baseballs (Game and Practice)</t>
  </si>
  <si>
    <t xml:space="preserve">      Awards</t>
  </si>
  <si>
    <t>Basic awards covered by Athletics Dept. - arrange with Bill Taylor</t>
  </si>
  <si>
    <t xml:space="preserve">      Senior Banners</t>
  </si>
  <si>
    <t>Senior Banners covered by RAAB for 2024/2025 ($35 each)</t>
  </si>
  <si>
    <t xml:space="preserve">      Stipends</t>
  </si>
  <si>
    <t>2 stipends funded by RAAB General Funds/RAAB Dues</t>
  </si>
  <si>
    <t xml:space="preserve">      Team Celebration</t>
  </si>
  <si>
    <t>Banquet</t>
  </si>
  <si>
    <t>2 road trips planned</t>
  </si>
  <si>
    <t>Regular Season Varsity Uniforms covered by RAAB General Funds every 3-4 years, additional uniforms covered by restricted funds</t>
  </si>
  <si>
    <t>Froshand JV Tournamets</t>
  </si>
  <si>
    <t>Pass Through Income</t>
  </si>
  <si>
    <t xml:space="preserve">      Player Packs Income</t>
  </si>
  <si>
    <t xml:space="preserve">      Team Travel Income</t>
  </si>
  <si>
    <t>Pass Through Expense</t>
  </si>
  <si>
    <t xml:space="preserve">      Player Packs Expense</t>
  </si>
  <si>
    <t>Includes any item that players keep</t>
  </si>
  <si>
    <t xml:space="preserve">      Team Travel Expense</t>
  </si>
  <si>
    <t xml:space="preserve">   Total Pass-Through Expense</t>
  </si>
  <si>
    <t>Net Pass Through Revenue</t>
  </si>
  <si>
    <t>Total Net Revenue</t>
  </si>
  <si>
    <t>Covered by RAAB General</t>
  </si>
  <si>
    <t>Stipends &amp; Senior Banners</t>
  </si>
  <si>
    <t>Net Change to Restricted Fund Account by year end:</t>
  </si>
  <si>
    <t>Stipends - per District approved schedule:</t>
  </si>
  <si>
    <t>JV/Assistant coach</t>
  </si>
  <si>
    <t>Boys Basketball</t>
  </si>
  <si>
    <t>Chris Jones</t>
  </si>
  <si>
    <t>rioamericanobasketball@gmail.com</t>
  </si>
  <si>
    <t>Team Parent</t>
  </si>
  <si>
    <t>Carrie Engh</t>
  </si>
  <si>
    <t>Donations to Boys Basketball Program</t>
  </si>
  <si>
    <t xml:space="preserve">   Jack Scott Tournament Income</t>
  </si>
  <si>
    <t>Jack Scott - make sure $1k is in Jack Scott account for scholarships.  Current balance is $2k, use $1k for 23/24 and $1k for 24/25</t>
  </si>
  <si>
    <t xml:space="preserve">      Jack Scott Tournament Expense</t>
  </si>
  <si>
    <t xml:space="preserve">      Facility Maintenance</t>
  </si>
  <si>
    <t>6 coaches total -  Myself, Tony and 1 more TBD, JV: Benji and Ruben, Frosh: Cameron K. 5 Covered by district; 1 funded by RAAB Dues - asked to pay Fall coaches a stipend - Fall coach covered by restricted funds</t>
  </si>
  <si>
    <t xml:space="preserve">      Stipends - Athletic Trainer</t>
  </si>
  <si>
    <t>SPLIT 50/50 WITH RAAB - An athletic trainer is an amazing resource we need - estimated cost.</t>
  </si>
  <si>
    <t>Requested to double expense item</t>
  </si>
  <si>
    <t>Combines Player Pack &amp; Team Travel income for 23/24 total</t>
  </si>
  <si>
    <t>RAAB Covers Stipends, Senior Banners, 1/2 Athletic Trainer</t>
  </si>
  <si>
    <t>Girls Basketball</t>
  </si>
  <si>
    <t xml:space="preserve">Team Restricted Funds Balance as of 5/31/24 </t>
  </si>
  <si>
    <t>Quenice Davis</t>
  </si>
  <si>
    <t>davisq0310@gmail.com</t>
  </si>
  <si>
    <t>Ryan Saunders</t>
  </si>
  <si>
    <t>ryan.saunders@sbcglobal.net</t>
  </si>
  <si>
    <t>Donations to Girls Basketball Program</t>
  </si>
  <si>
    <t xml:space="preserve">   Tournament Income</t>
  </si>
  <si>
    <t>Vertical Raise or similar</t>
  </si>
  <si>
    <t xml:space="preserve">      Tournament Expense</t>
  </si>
  <si>
    <t>1 Assistant Coach at the Varsity Level Funded by RAAB General Funds/RAAB Dues - Other coaches covered by District</t>
  </si>
  <si>
    <t>SPLIT 50/50 WITH RAAB (only regular season AT costs would be subsidized by RAAB, out of season costs covered by program) Would this trainer have the ability/ time to do off season and in season strength and
conditioning? Will they be available for taping at practice and games?</t>
  </si>
  <si>
    <t>Kayla Wright</t>
  </si>
  <si>
    <t>kwright.rio@gmail.com</t>
  </si>
  <si>
    <t>Varsity - Song</t>
  </si>
  <si>
    <t>Budget from Cheer coach</t>
  </si>
  <si>
    <t>JV</t>
  </si>
  <si>
    <t>TBD</t>
  </si>
  <si>
    <t>Fresh</t>
  </si>
  <si>
    <t>Donations to Cheer Program</t>
  </si>
  <si>
    <t xml:space="preserve">   Cheer Pasta Feed</t>
  </si>
  <si>
    <t>Summer Program Fee (200 * 42)</t>
  </si>
  <si>
    <t xml:space="preserve">      Cheer Pasta Feed</t>
  </si>
  <si>
    <t>Wireless speaker</t>
  </si>
  <si>
    <t>Misc.</t>
  </si>
  <si>
    <t>Basic awards covered by Athletics Dept. - arrange with Bill Taylor, senior banners, awards</t>
  </si>
  <si>
    <t>Not a CIF Sport, all Cheer stipends covered via Cheer fundraising efforts</t>
  </si>
  <si>
    <t>* The Cheer Program is self-supporting, expenses are not covered by RAAB General Funds as Cheer is not a CIF sport *</t>
  </si>
  <si>
    <t>* RAAB does provide not profit status and bookkeeping to the Cheer Program *</t>
  </si>
  <si>
    <t>Varsity (3 teams)</t>
  </si>
  <si>
    <t>Anton Escay</t>
  </si>
  <si>
    <t>24/25 Numbers</t>
  </si>
  <si>
    <t>antonescay@hotmail.com</t>
  </si>
  <si>
    <t>Anne Larson</t>
  </si>
  <si>
    <t>awlarsson@gmail.com</t>
  </si>
  <si>
    <t xml:space="preserve">Confirmed </t>
  </si>
  <si>
    <t>Donations to Cross Country Program</t>
  </si>
  <si>
    <t>Added by RAAB - Additional Fundraising needed to cover costs</t>
  </si>
  <si>
    <t>If we had an athletic trainer cross country team would mainly use them for treatment
before and after practice at school so hopefully they would have a training room on
campus. My kids usually get shin splints and minor sprains. It would also be nice to
have ice baths on site to use after practice.</t>
  </si>
  <si>
    <t>Include expense for website ($250) and domain ($125)- Anton has been covering cost</t>
  </si>
  <si>
    <t>1 Coach covered by RAAB General Funds/RAAB Dues</t>
  </si>
  <si>
    <t>Stipend + Senior Banners</t>
  </si>
  <si>
    <t>Net change to Restricted Funds by end of season</t>
  </si>
  <si>
    <t>Flag Football</t>
  </si>
  <si>
    <t>Joe Fry</t>
  </si>
  <si>
    <t>charles.fry@sanjuan.edu</t>
  </si>
  <si>
    <t>JV/Frosh</t>
  </si>
  <si>
    <t>Donations to Flag Football Program</t>
  </si>
  <si>
    <t>2 Coaches covered by district + 2 coaches covered by RAAB</t>
  </si>
  <si>
    <t>SPLIT 50/50 WITH RAAB - I just think it should be mandatory for the district to provide one especially for football.
That is a sport where in the 3 years I’ve been coaching it there hasn’t been 1 game with
0 injuries. Just a thought... I know that isn’t your call.</t>
  </si>
  <si>
    <t>$15/athlete covered by RAAB General Funds/RAAB Dues, balance covered by restricted funds</t>
  </si>
  <si>
    <t>Stipends, Uniforms, Senior Banners, 1/2 Athletic Trainer</t>
  </si>
  <si>
    <t>Bob Ghaz</t>
  </si>
  <si>
    <t>24/25 Season</t>
  </si>
  <si>
    <t>Anastasia Canterbury</t>
  </si>
  <si>
    <t>Donations to Football Program</t>
  </si>
  <si>
    <t>$500/banner - to be displayed at home games</t>
  </si>
  <si>
    <t xml:space="preserve">   Clothing Sales</t>
  </si>
  <si>
    <t xml:space="preserve">   Discount Cards</t>
  </si>
  <si>
    <t>From football parent text group</t>
  </si>
  <si>
    <t xml:space="preserve">   Football Golf Tournament Income</t>
  </si>
  <si>
    <t>Run by Nick Oliver: nicoliver4224@gmail.com, Net come: $13,636</t>
  </si>
  <si>
    <t>Using 80% of last year, 4 home games instead of 5</t>
  </si>
  <si>
    <t xml:space="preserve">      Football Golf Tournament</t>
  </si>
  <si>
    <t>$5k headsets, 10 footballs $1k, $1.5k 3 new helmets - Helmet reconditioning covered by Athletics this year ($12k), shoulder pad reconditioning</t>
  </si>
  <si>
    <t>Total quote from coach - $19k includes coaches gear and spirit pack</t>
  </si>
  <si>
    <t>Ice, misc.</t>
  </si>
  <si>
    <t>3 stipends are funded by RAAB General Funds/RAAB Dues  (8 coaches by District) - Requesting 12 stipends covered by district</t>
  </si>
  <si>
    <t>Wants to do 10k for stipends</t>
  </si>
  <si>
    <t>SPLIT 50/50 WITH RAAB - We believe it's imperative that either the school or the district have an athletic trainer on
campus . We believe if we can have an athletic trainer on campus that person can be
available to cover emergencies and treatment . Soon we will have many sports going on
at the same time and one person could be on campus as a "first responder " for injuries
and help with prevention (PT plan, taping , stretching , etc). Obviously, having one at
the games is helpful too.</t>
  </si>
  <si>
    <t>Estimate $15/athlete</t>
  </si>
  <si>
    <t>Regular Season Varsity Uniforms covered by RAAB General Funds every 3-4 years, additional uniforms covered by restricted funds.  White set of uniforms has been ordered.  BSN is giving a 75% discount.</t>
  </si>
  <si>
    <t>Payments are part of Discount Card Income, additional payments expected</t>
  </si>
  <si>
    <t>Uniforms, Stipends, Athletic Trainer 50/50, Senior Banners</t>
  </si>
  <si>
    <t>Boys Golf</t>
  </si>
  <si>
    <t>Josh Dennis</t>
  </si>
  <si>
    <t>josh.dennis@sanjuan.edu</t>
  </si>
  <si>
    <t>ESTIMATES</t>
  </si>
  <si>
    <t>Donations to Boys Golf Program</t>
  </si>
  <si>
    <t xml:space="preserve">   Caddie Day Tournament</t>
  </si>
  <si>
    <t>Green fees, golf balls</t>
  </si>
  <si>
    <t>2 coaches funded by District</t>
  </si>
  <si>
    <t>Senior Banners</t>
  </si>
  <si>
    <t>Girls Golf</t>
  </si>
  <si>
    <t>Rocco Marrongelli</t>
  </si>
  <si>
    <t>rmarrongelli@sanjuan.edu</t>
  </si>
  <si>
    <t>Donations to Girls Golf Program</t>
  </si>
  <si>
    <t>2 Coaches covered by the district, removed budget item based on 7.14.24 meeting with Bill &amp; Mindy</t>
  </si>
  <si>
    <t>Boys Lacrosse</t>
  </si>
  <si>
    <t>Collin Hammet</t>
  </si>
  <si>
    <t>Donations to Boys Lacrosse Program</t>
  </si>
  <si>
    <t>Restuarant Night</t>
  </si>
  <si>
    <t>2 funded in 21/22 - covered by RAAB GENERAL</t>
  </si>
  <si>
    <t>Includes any item that players keep (ie Senior Banners)</t>
  </si>
  <si>
    <t>Stipends, Senior Banners</t>
  </si>
  <si>
    <t>Girls Lacrosse</t>
  </si>
  <si>
    <t>Ken Lubert</t>
  </si>
  <si>
    <t>ragirlslax@gmail.com</t>
  </si>
  <si>
    <t>Greg Andrews</t>
  </si>
  <si>
    <t>gandrews@interstateoil.com</t>
  </si>
  <si>
    <t>Estimates</t>
  </si>
  <si>
    <t>Donations to Girls Lacrosse Program</t>
  </si>
  <si>
    <t>Pancake event</t>
  </si>
  <si>
    <t xml:space="preserve">      Senior Banner</t>
  </si>
  <si>
    <t>2 funded in 20/21, for 21/22, one is just coach costs, and then 1 stipend</t>
  </si>
  <si>
    <t>Decided not to use an Athletic Trainer.</t>
  </si>
  <si>
    <t>* BSN credit for 751.30 - use on next BSN order *</t>
  </si>
  <si>
    <t>Stipends, Senior Banners, Athletic Trainer 50/50 split</t>
  </si>
  <si>
    <t>Boys Soccer</t>
  </si>
  <si>
    <t>Antonio Sutton</t>
  </si>
  <si>
    <t>rioamericanosoccer@gmail.com</t>
  </si>
  <si>
    <t>Donations to Boys Soccer Program</t>
  </si>
  <si>
    <t>2 Stipends covered by RAAB General Funds/RAAB Dues, try to move one more to District (3 district + 1 RAAB)</t>
  </si>
  <si>
    <t>Girls Soccer</t>
  </si>
  <si>
    <t>Pete McNamee</t>
  </si>
  <si>
    <t>pete.mcnamee@gmail.com</t>
  </si>
  <si>
    <t xml:space="preserve">JV </t>
  </si>
  <si>
    <t>JV - Green</t>
  </si>
  <si>
    <t>Donations to Girls Soccer Program</t>
  </si>
  <si>
    <t>Light Towers</t>
  </si>
  <si>
    <t>2 Stipends covered by RAAB General Funds/RAAB Dues + 2 covered by restricted funds (3 covered by district)</t>
  </si>
  <si>
    <t>Stipends + Senior Banners</t>
  </si>
  <si>
    <t>Jennifer Curia -  jc4nc25@yahoo.com</t>
  </si>
  <si>
    <t>Asst. Coach: Pete Callas - pcallas@cde.ca.gov</t>
  </si>
  <si>
    <t>Donations to Softball Program</t>
  </si>
  <si>
    <t>Chipotle - Added by RAAB - Additional Fundraising needed to cover costs</t>
  </si>
  <si>
    <t>Game balls, pitching machine, softball screen, ball feeder (approved in 23/24 budget)</t>
  </si>
  <si>
    <t>$650 Fence Topper - covered by Field of Dreams + Requests for 24/25 $3k - Generator, Storagee containers, turf for batting cage</t>
  </si>
  <si>
    <t>3 Stipends covered by District + 1 covered by RAAB</t>
  </si>
  <si>
    <t>Swim &amp; Dive</t>
  </si>
  <si>
    <t>Richard Levin</t>
  </si>
  <si>
    <t xml:space="preserve"> rioamericanoswim@gmail.com</t>
  </si>
  <si>
    <t>Donations to Swim Program</t>
  </si>
  <si>
    <t>? Is this needed?</t>
  </si>
  <si>
    <t>Coach Travel Expense</t>
  </si>
  <si>
    <t>TeamUnify, Senior Banners, Senior Meet balloons/deccor, section team shirts</t>
  </si>
  <si>
    <t>3 District + 1 RAAB (to be split)</t>
  </si>
  <si>
    <t>Athletes order and keep their own suits</t>
  </si>
  <si>
    <t>Includes any item that players keep (ie - Senior Banners)</t>
  </si>
  <si>
    <t>Mark Ravera</t>
  </si>
  <si>
    <t>markravera510@gmail.com</t>
  </si>
  <si>
    <t>Donations to Dive Program</t>
  </si>
  <si>
    <t>1 District Funded + 1 RAAB Funded</t>
  </si>
  <si>
    <t>Boys Tennis</t>
  </si>
  <si>
    <t>Laura Sax</t>
  </si>
  <si>
    <t>saxle@surewest.net</t>
  </si>
  <si>
    <t>Received Budget from Laura Sax</t>
  </si>
  <si>
    <t>Donations to Boys Tennis Program</t>
  </si>
  <si>
    <t>3 cases match balls @ $110/case, 5 cases practice balls @ $55/case</t>
  </si>
  <si>
    <t>2 court benches, 2 windscreen panels</t>
  </si>
  <si>
    <t>Net straps &amp; hooks, fence repair</t>
  </si>
  <si>
    <t>2 District Funded Coaches + 2 RAAB Funded coaches</t>
  </si>
  <si>
    <t>24 athletes x $15</t>
  </si>
  <si>
    <t>Girls Tennis</t>
  </si>
  <si>
    <t>Gina Costello</t>
  </si>
  <si>
    <t>gcostello965@gmail.com</t>
  </si>
  <si>
    <t>Received budget from Gina Costello</t>
  </si>
  <si>
    <t>Donations to Girls Tennis Program</t>
  </si>
  <si>
    <t>Tennis Brunch</t>
  </si>
  <si>
    <t>3 cases if practice balls(@$70) 3 cases of match balls ($116/case)</t>
  </si>
  <si>
    <t>score cards for 6 courts</t>
  </si>
  <si>
    <t>coaches drills training by Sac States men's tennis coach; all boys and girls coaches will be attending</t>
  </si>
  <si>
    <t>fixing fences, screens, nets</t>
  </si>
  <si>
    <t>2 stipends funded by RAAB + 2 Funded by District</t>
  </si>
  <si>
    <t>$15/athlete</t>
  </si>
  <si>
    <t>sandwiches snack for team playoffs, CVC tourney and CIF championships</t>
  </si>
  <si>
    <t>Athletes order and keep their own uniforms</t>
  </si>
  <si>
    <t>Chris Parod- NEW COACH TBD</t>
  </si>
  <si>
    <t>chris@rivervalleyins.com</t>
  </si>
  <si>
    <t>Donations to Track &amp; Field Program</t>
  </si>
  <si>
    <t>2 District Funded + 2 RAAB Funded</t>
  </si>
  <si>
    <t>* BSN has credit of 1,594.65 - use on next order</t>
  </si>
  <si>
    <t>Boys Volleyball</t>
  </si>
  <si>
    <t>Gabe Gardner</t>
  </si>
  <si>
    <t>riovolleyballmen@gmail.com</t>
  </si>
  <si>
    <t>Donations to Boys Volleyball Program</t>
  </si>
  <si>
    <t>3 coaches funded by District</t>
  </si>
  <si>
    <t>Senior Banners +uniforms?</t>
  </si>
  <si>
    <t>Girls Volleyball</t>
  </si>
  <si>
    <t>John Grix</t>
  </si>
  <si>
    <t>coachjohngrix@gmail.com</t>
  </si>
  <si>
    <t>Donations to Girl's Volleyball Program</t>
  </si>
  <si>
    <t>1 Coach funded by RAAB General Funds/RAAB Dues</t>
  </si>
  <si>
    <t>Boys Water Polo</t>
  </si>
  <si>
    <t>Team Restricted Funds Balance as of 5/31/24*</t>
  </si>
  <si>
    <t>Heather Moody</t>
  </si>
  <si>
    <t>* Does not include the reserved funds below</t>
  </si>
  <si>
    <t>riowaterpolomen@gmail.com</t>
  </si>
  <si>
    <t>Boys Water Polo - Reserved for Scoreboard</t>
  </si>
  <si>
    <t>Sub Account held at school:</t>
  </si>
  <si>
    <t>Donations to Boys Water Polo Program</t>
  </si>
  <si>
    <t>Scorebook, Possible Game Caps, Balls</t>
  </si>
  <si>
    <t>Polo/Tshirt/hat</t>
  </si>
  <si>
    <t>Heather Moody (Varsity), Rafael Ruano (JV), Gabe Gardner (Volunteer); given the number of athletes, need three paid stipend positions to run a safe program.  District funds 2 stipend; RAAB funds 1 and restricted funds cover 1. Amended 7.14.24 based on meeting with Mindy &amp; Bill. 7.23.24 amended based on email from Heather.</t>
  </si>
  <si>
    <t>Game Caps</t>
  </si>
  <si>
    <t>** Fundraise to cover travel expenses ***</t>
  </si>
  <si>
    <t>Coaches travell to tournaments/hotels/flights</t>
  </si>
  <si>
    <t>Girls Water Polo</t>
  </si>
  <si>
    <t>Team Restricted Funds Balance as of 5/31/24 *</t>
  </si>
  <si>
    <t>Rachel Ruano</t>
  </si>
  <si>
    <t>rscott75@hotmail.com</t>
  </si>
  <si>
    <t>Girls Water Polo - Reserved for Scoreboard</t>
  </si>
  <si>
    <t>Rafael Ruano</t>
  </si>
  <si>
    <t xml:space="preserve">arwaterpolo@yahoo.com </t>
  </si>
  <si>
    <t>Donations to Girls Water Polo Program</t>
  </si>
  <si>
    <t>T-Shirt Sales</t>
  </si>
  <si>
    <t>Tournament Ref Fees</t>
  </si>
  <si>
    <t>T-Shirts for fundraiser</t>
  </si>
  <si>
    <t xml:space="preserve">Rachel Ruano (Varsity) and Jen Padilla (JV). Really need a third coach stipend to be able to run safe practices and to have coverage in the event one of the other coaches has a conflict or is sick. - District funds 2 coach; RAAB funds 1 coaches (included in budget here) </t>
  </si>
  <si>
    <t>Team Stipend + Senior Banners</t>
  </si>
  <si>
    <t>Austin Bell</t>
  </si>
  <si>
    <t>RioAmericanoWrestling@gmail.com</t>
  </si>
  <si>
    <t>Received some info from Austin Bell via email</t>
  </si>
  <si>
    <t>Donations to Wrestling Program</t>
  </si>
  <si>
    <t>Jump n Donate</t>
  </si>
  <si>
    <t>expected</t>
  </si>
  <si>
    <t>Tournament Ref Fees - expected</t>
  </si>
  <si>
    <t>2 funded by District + 1 funded by RAAB</t>
  </si>
  <si>
    <t>SPLIT 50/50 WITH RAAB - every sport needs an athletic trainer on campus due to the fact that injuries can happen
at anytime</t>
  </si>
  <si>
    <t>not needed</t>
  </si>
  <si>
    <t>&lt;-how many more uniforms are needed?</t>
  </si>
  <si>
    <t>Stipend + Uniforms + Senior Banners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</si>
</sst>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#,##0.00"/>
    <numFmt numFmtId="166" formatCode="#,##0\ _€"/>
    <numFmt numFmtId="167" formatCode="&quot;$&quot;* #,##0.00\ _€"/>
  </numFmts>
  <fonts count="32">
    <font>
      <sz val="11"/>
      <color rgb="FF000000"/>
      <name val="Calibri"/>
      <scheme val="minor"/>
    </font>
    <font>
      <b/>
      <sz val="15"/>
      <color rgb="FF000000"/>
      <name val="Calibri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i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u/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1"/>
      <color rgb="FF1155CC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rgb="FF1F1F1F"/>
      <name val="&quot;Google Sans&quot;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</font>
    <font>
      <i/>
      <sz val="8"/>
      <color rgb="FF000000"/>
      <name val="Arial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4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44" fontId="6" fillId="0" borderId="0" xfId="0" applyNumberFormat="1" applyFont="1" applyAlignment="1">
      <alignment wrapText="1"/>
    </xf>
    <xf numFmtId="44" fontId="6" fillId="0" borderId="0" xfId="0" applyNumberFormat="1" applyFont="1" applyAlignment="1">
      <alignment horizontal="right" wrapText="1"/>
    </xf>
    <xf numFmtId="44" fontId="5" fillId="0" borderId="2" xfId="0" applyNumberFormat="1" applyFont="1" applyBorder="1" applyAlignment="1">
      <alignment horizontal="right" wrapText="1"/>
    </xf>
    <xf numFmtId="44" fontId="7" fillId="0" borderId="2" xfId="0" applyNumberFormat="1" applyFont="1" applyBorder="1" applyAlignment="1">
      <alignment horizontal="right" wrapText="1"/>
    </xf>
    <xf numFmtId="44" fontId="7" fillId="0" borderId="2" xfId="0" applyNumberFormat="1" applyFont="1" applyBorder="1" applyAlignment="1">
      <alignment horizontal="left" wrapText="1"/>
    </xf>
    <xf numFmtId="44" fontId="7" fillId="0" borderId="0" xfId="0" applyNumberFormat="1" applyFont="1" applyAlignment="1">
      <alignment wrapText="1"/>
    </xf>
    <xf numFmtId="44" fontId="8" fillId="0" borderId="2" xfId="0" applyNumberFormat="1" applyFont="1" applyBorder="1" applyAlignment="1">
      <alignment horizontal="right" wrapText="1"/>
    </xf>
    <xf numFmtId="164" fontId="6" fillId="0" borderId="0" xfId="0" applyNumberFormat="1" applyFont="1" applyAlignment="1">
      <alignment wrapText="1"/>
    </xf>
    <xf numFmtId="0" fontId="4" fillId="0" borderId="0" xfId="0" applyFont="1"/>
    <xf numFmtId="0" fontId="6" fillId="0" borderId="0" xfId="0" applyFont="1"/>
    <xf numFmtId="44" fontId="4" fillId="0" borderId="0" xfId="0" applyNumberFormat="1" applyFont="1"/>
    <xf numFmtId="44" fontId="6" fillId="0" borderId="0" xfId="0" applyNumberFormat="1" applyFont="1"/>
    <xf numFmtId="43" fontId="4" fillId="0" borderId="0" xfId="0" applyNumberFormat="1" applyFont="1"/>
    <xf numFmtId="43" fontId="6" fillId="0" borderId="0" xfId="0" applyNumberFormat="1" applyFont="1"/>
    <xf numFmtId="10" fontId="4" fillId="0" borderId="0" xfId="0" applyNumberFormat="1" applyFont="1"/>
    <xf numFmtId="10" fontId="6" fillId="0" borderId="0" xfId="0" applyNumberFormat="1" applyFont="1"/>
    <xf numFmtId="0" fontId="9" fillId="0" borderId="1" xfId="0" applyFont="1" applyBorder="1"/>
    <xf numFmtId="0" fontId="10" fillId="0" borderId="0" xfId="0" applyFont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44" fontId="3" fillId="0" borderId="7" xfId="0" applyNumberFormat="1" applyFont="1" applyBorder="1"/>
    <xf numFmtId="44" fontId="3" fillId="0" borderId="8" xfId="0" applyNumberFormat="1" applyFont="1" applyBorder="1"/>
    <xf numFmtId="44" fontId="4" fillId="0" borderId="9" xfId="0" applyNumberFormat="1" applyFont="1" applyBorder="1"/>
    <xf numFmtId="44" fontId="11" fillId="0" borderId="0" xfId="0" applyNumberFormat="1" applyFont="1"/>
    <xf numFmtId="44" fontId="11" fillId="0" borderId="9" xfId="0" applyNumberFormat="1" applyFont="1" applyBorder="1"/>
    <xf numFmtId="0" fontId="4" fillId="0" borderId="10" xfId="0" applyFont="1" applyBorder="1"/>
    <xf numFmtId="0" fontId="4" fillId="0" borderId="11" xfId="0" applyFont="1" applyBorder="1"/>
    <xf numFmtId="44" fontId="4" fillId="0" borderId="12" xfId="0" applyNumberFormat="1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1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12" fillId="0" borderId="17" xfId="0" applyFont="1" applyBorder="1" applyAlignment="1">
      <alignment horizontal="center" wrapText="1"/>
    </xf>
    <xf numFmtId="165" fontId="16" fillId="0" borderId="5" xfId="0" applyNumberFormat="1" applyFont="1" applyBorder="1" applyAlignment="1">
      <alignment horizontal="center" wrapText="1"/>
    </xf>
    <xf numFmtId="165" fontId="17" fillId="0" borderId="19" xfId="0" applyNumberFormat="1" applyFont="1" applyBorder="1" applyAlignment="1">
      <alignment horizontal="center" wrapText="1"/>
    </xf>
    <xf numFmtId="165" fontId="17" fillId="0" borderId="21" xfId="0" applyNumberFormat="1" applyFont="1" applyBorder="1" applyAlignment="1">
      <alignment horizontal="center"/>
    </xf>
    <xf numFmtId="165" fontId="17" fillId="0" borderId="18" xfId="0" applyNumberFormat="1" applyFont="1" applyBorder="1" applyAlignment="1">
      <alignment horizontal="center" wrapText="1"/>
    </xf>
    <xf numFmtId="165" fontId="17" fillId="0" borderId="21" xfId="0" applyNumberFormat="1" applyFont="1" applyBorder="1" applyAlignment="1">
      <alignment horizontal="center" wrapText="1"/>
    </xf>
    <xf numFmtId="165" fontId="17" fillId="0" borderId="20" xfId="0" applyNumberFormat="1" applyFont="1" applyBorder="1" applyAlignment="1">
      <alignment horizontal="center" wrapText="1"/>
    </xf>
    <xf numFmtId="165" fontId="17" fillId="0" borderId="4" xfId="0" applyNumberFormat="1" applyFont="1" applyBorder="1" applyAlignment="1">
      <alignment horizontal="center" wrapText="1"/>
    </xf>
    <xf numFmtId="44" fontId="12" fillId="0" borderId="9" xfId="0" applyNumberFormat="1" applyFont="1" applyBorder="1"/>
    <xf numFmtId="3" fontId="18" fillId="0" borderId="9" xfId="0" applyNumberFormat="1" applyFont="1" applyBorder="1" applyAlignment="1">
      <alignment horizontal="center"/>
    </xf>
    <xf numFmtId="44" fontId="13" fillId="0" borderId="22" xfId="0" applyNumberFormat="1" applyFont="1" applyBorder="1"/>
    <xf numFmtId="3" fontId="18" fillId="0" borderId="0" xfId="0" applyNumberFormat="1" applyFont="1" applyAlignment="1">
      <alignment horizontal="center"/>
    </xf>
    <xf numFmtId="44" fontId="13" fillId="0" borderId="0" xfId="0" applyNumberFormat="1" applyFont="1"/>
    <xf numFmtId="44" fontId="13" fillId="0" borderId="0" xfId="0" applyNumberFormat="1" applyFont="1" applyAlignment="1">
      <alignment wrapText="1"/>
    </xf>
    <xf numFmtId="44" fontId="13" fillId="0" borderId="9" xfId="0" applyNumberFormat="1" applyFont="1" applyBorder="1"/>
    <xf numFmtId="44" fontId="13" fillId="0" borderId="6" xfId="0" applyNumberFormat="1" applyFont="1" applyBorder="1"/>
    <xf numFmtId="44" fontId="12" fillId="0" borderId="0" xfId="0" applyNumberFormat="1" applyFont="1"/>
    <xf numFmtId="3" fontId="18" fillId="0" borderId="22" xfId="0" applyNumberFormat="1" applyFont="1" applyBorder="1" applyAlignment="1">
      <alignment horizontal="center"/>
    </xf>
    <xf numFmtId="44" fontId="12" fillId="0" borderId="11" xfId="0" applyNumberFormat="1" applyFont="1" applyBorder="1"/>
    <xf numFmtId="3" fontId="18" fillId="0" borderId="23" xfId="0" applyNumberFormat="1" applyFont="1" applyBorder="1" applyAlignment="1">
      <alignment horizontal="center"/>
    </xf>
    <xf numFmtId="44" fontId="13" fillId="0" borderId="11" xfId="0" applyNumberFormat="1" applyFont="1" applyBorder="1"/>
    <xf numFmtId="44" fontId="13" fillId="0" borderId="12" xfId="0" applyNumberFormat="1" applyFont="1" applyBorder="1"/>
    <xf numFmtId="44" fontId="13" fillId="0" borderId="10" xfId="0" applyNumberFormat="1" applyFont="1" applyBorder="1"/>
    <xf numFmtId="44" fontId="12" fillId="0" borderId="18" xfId="0" applyNumberFormat="1" applyFont="1" applyBorder="1"/>
    <xf numFmtId="3" fontId="18" fillId="0" borderId="21" xfId="0" applyNumberFormat="1" applyFont="1" applyBorder="1" applyAlignment="1">
      <alignment horizontal="center"/>
    </xf>
    <xf numFmtId="44" fontId="13" fillId="0" borderId="21" xfId="0" applyNumberFormat="1" applyFont="1" applyBorder="1"/>
    <xf numFmtId="3" fontId="18" fillId="0" borderId="18" xfId="0" applyNumberFormat="1" applyFont="1" applyBorder="1" applyAlignment="1">
      <alignment horizontal="center"/>
    </xf>
    <xf numFmtId="44" fontId="13" fillId="0" borderId="18" xfId="0" applyNumberFormat="1" applyFont="1" applyBorder="1"/>
    <xf numFmtId="44" fontId="13" fillId="0" borderId="19" xfId="0" applyNumberFormat="1" applyFont="1" applyBorder="1"/>
    <xf numFmtId="44" fontId="13" fillId="0" borderId="20" xfId="0" applyNumberFormat="1" applyFont="1" applyBorder="1"/>
    <xf numFmtId="44" fontId="12" fillId="0" borderId="0" xfId="0" applyNumberFormat="1" applyFont="1" applyAlignment="1">
      <alignment horizontal="right"/>
    </xf>
    <xf numFmtId="44" fontId="13" fillId="0" borderId="0" xfId="0" applyNumberFormat="1" applyFont="1" applyAlignment="1">
      <alignment horizontal="center"/>
    </xf>
    <xf numFmtId="44" fontId="13" fillId="0" borderId="0" xfId="0" applyNumberFormat="1" applyFont="1" applyAlignment="1">
      <alignment horizontal="right"/>
    </xf>
    <xf numFmtId="165" fontId="12" fillId="0" borderId="0" xfId="0" applyNumberFormat="1" applyFont="1"/>
    <xf numFmtId="0" fontId="13" fillId="0" borderId="0" xfId="0" applyFont="1" applyAlignment="1">
      <alignment horizontal="center"/>
    </xf>
    <xf numFmtId="165" fontId="13" fillId="0" borderId="0" xfId="0" applyNumberFormat="1" applyFont="1"/>
    <xf numFmtId="44" fontId="13" fillId="0" borderId="24" xfId="0" applyNumberFormat="1" applyFont="1" applyBorder="1" applyAlignment="1">
      <alignment horizontal="right"/>
    </xf>
    <xf numFmtId="44" fontId="13" fillId="0" borderId="2" xfId="0" applyNumberFormat="1" applyFont="1" applyBorder="1"/>
    <xf numFmtId="0" fontId="14" fillId="0" borderId="2" xfId="0" applyFont="1" applyBorder="1" applyAlignment="1">
      <alignment horizontal="right"/>
    </xf>
    <xf numFmtId="0" fontId="10" fillId="0" borderId="25" xfId="0" applyFont="1" applyBorder="1"/>
    <xf numFmtId="0" fontId="12" fillId="0" borderId="0" xfId="0" applyFont="1"/>
    <xf numFmtId="165" fontId="13" fillId="0" borderId="26" xfId="0" applyNumberFormat="1" applyFont="1" applyBorder="1"/>
    <xf numFmtId="44" fontId="13" fillId="0" borderId="27" xfId="0" applyNumberFormat="1" applyFont="1" applyBorder="1"/>
    <xf numFmtId="0" fontId="19" fillId="0" borderId="3" xfId="0" applyFont="1" applyBorder="1" applyAlignment="1">
      <alignment vertical="center"/>
    </xf>
    <xf numFmtId="0" fontId="13" fillId="0" borderId="4" xfId="0" applyFont="1" applyBorder="1"/>
    <xf numFmtId="0" fontId="13" fillId="0" borderId="5" xfId="0" applyFont="1" applyBorder="1"/>
    <xf numFmtId="0" fontId="13" fillId="0" borderId="26" xfId="0" applyFont="1" applyBorder="1"/>
    <xf numFmtId="165" fontId="13" fillId="0" borderId="0" xfId="0" applyNumberFormat="1" applyFont="1" applyAlignment="1">
      <alignment horizontal="right"/>
    </xf>
    <xf numFmtId="43" fontId="13" fillId="0" borderId="27" xfId="0" applyNumberFormat="1" applyFont="1" applyBorder="1"/>
    <xf numFmtId="0" fontId="3" fillId="0" borderId="6" xfId="0" applyFont="1" applyBorder="1" applyAlignment="1">
      <alignment vertical="center"/>
    </xf>
    <xf numFmtId="0" fontId="13" fillId="0" borderId="9" xfId="0" applyFont="1" applyBorder="1"/>
    <xf numFmtId="0" fontId="13" fillId="0" borderId="0" xfId="0" applyFont="1" applyAlignment="1">
      <alignment horizontal="right"/>
    </xf>
    <xf numFmtId="165" fontId="13" fillId="0" borderId="27" xfId="0" applyNumberFormat="1" applyFont="1" applyBorder="1"/>
    <xf numFmtId="0" fontId="13" fillId="0" borderId="28" xfId="0" applyFont="1" applyBorder="1"/>
    <xf numFmtId="0" fontId="13" fillId="0" borderId="1" xfId="0" applyFont="1" applyBorder="1"/>
    <xf numFmtId="165" fontId="12" fillId="0" borderId="29" xfId="0" applyNumberFormat="1" applyFont="1" applyBorder="1"/>
    <xf numFmtId="0" fontId="12" fillId="0" borderId="0" xfId="0" applyFont="1" applyAlignment="1">
      <alignment horizontal="right"/>
    </xf>
    <xf numFmtId="0" fontId="4" fillId="0" borderId="6" xfId="0" applyFont="1" applyBorder="1" applyAlignment="1">
      <alignment vertical="center"/>
    </xf>
    <xf numFmtId="0" fontId="13" fillId="0" borderId="10" xfId="0" applyFont="1" applyBorder="1"/>
    <xf numFmtId="0" fontId="13" fillId="0" borderId="11" xfId="0" applyFont="1" applyBorder="1"/>
    <xf numFmtId="0" fontId="13" fillId="0" borderId="12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0" fillId="0" borderId="0" xfId="0" applyFont="1"/>
    <xf numFmtId="0" fontId="3" fillId="0" borderId="30" xfId="0" applyFont="1" applyBorder="1" applyAlignment="1">
      <alignment horizontal="left"/>
    </xf>
    <xf numFmtId="0" fontId="14" fillId="0" borderId="24" xfId="0" applyFont="1" applyBorder="1"/>
    <xf numFmtId="0" fontId="10" fillId="0" borderId="2" xfId="0" applyFont="1" applyBorder="1"/>
    <xf numFmtId="165" fontId="3" fillId="0" borderId="0" xfId="0" applyNumberFormat="1" applyFont="1" applyAlignment="1">
      <alignment horizontal="center"/>
    </xf>
    <xf numFmtId="0" fontId="4" fillId="0" borderId="31" xfId="0" applyFont="1" applyBorder="1" applyAlignment="1">
      <alignment horizontal="left"/>
    </xf>
    <xf numFmtId="0" fontId="10" fillId="0" borderId="26" xfId="0" applyFont="1" applyBorder="1"/>
    <xf numFmtId="166" fontId="10" fillId="0" borderId="0" xfId="0" applyNumberFormat="1" applyFont="1"/>
    <xf numFmtId="0" fontId="10" fillId="0" borderId="27" xfId="0" applyFont="1" applyBorder="1"/>
    <xf numFmtId="0" fontId="4" fillId="0" borderId="32" xfId="0" applyFont="1" applyBorder="1" applyAlignment="1">
      <alignment horizontal="left"/>
    </xf>
    <xf numFmtId="166" fontId="10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 applyAlignment="1">
      <alignment horizontal="left"/>
    </xf>
    <xf numFmtId="0" fontId="10" fillId="0" borderId="28" xfId="0" applyFont="1" applyBorder="1"/>
    <xf numFmtId="0" fontId="10" fillId="0" borderId="1" xfId="0" applyFont="1" applyBorder="1"/>
    <xf numFmtId="0" fontId="10" fillId="0" borderId="29" xfId="0" applyFont="1" applyBorder="1"/>
    <xf numFmtId="0" fontId="17" fillId="0" borderId="7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35" xfId="0" applyFont="1" applyBorder="1" applyAlignment="1">
      <alignment horizontal="left" wrapText="1"/>
    </xf>
    <xf numFmtId="44" fontId="6" fillId="0" borderId="16" xfId="0" applyNumberFormat="1" applyFont="1" applyBorder="1" applyAlignment="1">
      <alignment wrapText="1"/>
    </xf>
    <xf numFmtId="164" fontId="6" fillId="0" borderId="16" xfId="0" applyNumberFormat="1" applyFont="1" applyBorder="1" applyAlignment="1">
      <alignment horizontal="left" wrapText="1"/>
    </xf>
    <xf numFmtId="44" fontId="6" fillId="0" borderId="15" xfId="0" applyNumberFormat="1" applyFont="1" applyBorder="1" applyAlignment="1">
      <alignment wrapText="1"/>
    </xf>
    <xf numFmtId="0" fontId="21" fillId="0" borderId="0" xfId="0" applyFont="1"/>
    <xf numFmtId="44" fontId="5" fillId="0" borderId="0" xfId="0" applyNumberFormat="1" applyFont="1" applyAlignment="1">
      <alignment horizontal="right" wrapText="1"/>
    </xf>
    <xf numFmtId="44" fontId="5" fillId="0" borderId="14" xfId="0" applyNumberFormat="1" applyFont="1" applyBorder="1" applyAlignment="1">
      <alignment horizontal="right" wrapText="1"/>
    </xf>
    <xf numFmtId="167" fontId="5" fillId="0" borderId="14" xfId="0" applyNumberFormat="1" applyFont="1" applyBorder="1" applyAlignment="1">
      <alignment horizontal="left" wrapText="1"/>
    </xf>
    <xf numFmtId="44" fontId="5" fillId="0" borderId="36" xfId="0" applyNumberFormat="1" applyFont="1" applyBorder="1" applyAlignment="1">
      <alignment horizontal="right" wrapText="1"/>
    </xf>
    <xf numFmtId="167" fontId="5" fillId="0" borderId="36" xfId="0" applyNumberFormat="1" applyFont="1" applyBorder="1" applyAlignment="1">
      <alignment horizontal="left" wrapText="1"/>
    </xf>
    <xf numFmtId="44" fontId="6" fillId="0" borderId="16" xfId="0" applyNumberFormat="1" applyFont="1" applyBorder="1" applyAlignment="1">
      <alignment horizontal="right" wrapText="1"/>
    </xf>
    <xf numFmtId="44" fontId="11" fillId="0" borderId="0" xfId="0" applyNumberFormat="1" applyFont="1" applyAlignment="1">
      <alignment horizontal="right"/>
    </xf>
    <xf numFmtId="164" fontId="11" fillId="0" borderId="0" xfId="0" applyNumberFormat="1" applyFont="1"/>
    <xf numFmtId="164" fontId="22" fillId="0" borderId="0" xfId="0" applyNumberFormat="1" applyFont="1"/>
    <xf numFmtId="44" fontId="23" fillId="0" borderId="0" xfId="0" applyNumberFormat="1" applyFont="1" applyAlignment="1">
      <alignment horizontal="right" wrapText="1"/>
    </xf>
    <xf numFmtId="164" fontId="23" fillId="0" borderId="0" xfId="0" applyNumberFormat="1" applyFont="1" applyAlignment="1">
      <alignment wrapText="1"/>
    </xf>
    <xf numFmtId="44" fontId="11" fillId="0" borderId="1" xfId="0" applyNumberFormat="1" applyFont="1" applyBorder="1" applyAlignment="1">
      <alignment horizontal="right"/>
    </xf>
    <xf numFmtId="164" fontId="11" fillId="0" borderId="1" xfId="0" applyNumberFormat="1" applyFont="1" applyBorder="1"/>
    <xf numFmtId="44" fontId="6" fillId="0" borderId="1" xfId="0" applyNumberFormat="1" applyFont="1" applyBorder="1" applyAlignment="1">
      <alignment wrapText="1"/>
    </xf>
    <xf numFmtId="44" fontId="4" fillId="0" borderId="16" xfId="0" applyNumberFormat="1" applyFont="1" applyBorder="1"/>
    <xf numFmtId="0" fontId="4" fillId="0" borderId="16" xfId="0" applyFont="1" applyBorder="1" applyAlignment="1">
      <alignment horizontal="left"/>
    </xf>
    <xf numFmtId="0" fontId="5" fillId="0" borderId="24" xfId="0" applyFont="1" applyBorder="1" applyAlignment="1">
      <alignment horizontal="left" wrapText="1"/>
    </xf>
    <xf numFmtId="0" fontId="4" fillId="0" borderId="2" xfId="0" applyFont="1" applyBorder="1"/>
    <xf numFmtId="0" fontId="4" fillId="0" borderId="37" xfId="0" applyFont="1" applyBorder="1"/>
    <xf numFmtId="0" fontId="4" fillId="0" borderId="15" xfId="0" applyFont="1" applyBorder="1" applyAlignment="1">
      <alignment horizontal="left"/>
    </xf>
    <xf numFmtId="0" fontId="5" fillId="0" borderId="26" xfId="0" applyFont="1" applyBorder="1" applyAlignment="1">
      <alignment horizontal="left" wrapText="1"/>
    </xf>
    <xf numFmtId="44" fontId="4" fillId="0" borderId="38" xfId="0" applyNumberFormat="1" applyFont="1" applyBorder="1"/>
    <xf numFmtId="0" fontId="5" fillId="0" borderId="28" xfId="0" applyFont="1" applyBorder="1" applyAlignment="1">
      <alignment horizontal="left" wrapText="1"/>
    </xf>
    <xf numFmtId="44" fontId="4" fillId="0" borderId="1" xfId="0" applyNumberFormat="1" applyFont="1" applyBorder="1"/>
    <xf numFmtId="44" fontId="4" fillId="0" borderId="39" xfId="0" applyNumberFormat="1" applyFont="1" applyBorder="1"/>
    <xf numFmtId="165" fontId="4" fillId="0" borderId="0" xfId="0" applyNumberFormat="1" applyFont="1" applyAlignment="1">
      <alignment horizontal="center"/>
    </xf>
    <xf numFmtId="0" fontId="3" fillId="0" borderId="31" xfId="0" applyFont="1" applyBorder="1" applyAlignment="1">
      <alignment horizontal="left"/>
    </xf>
    <xf numFmtId="0" fontId="4" fillId="0" borderId="40" xfId="0" applyFont="1" applyBorder="1"/>
    <xf numFmtId="0" fontId="4" fillId="0" borderId="41" xfId="0" applyFont="1" applyBorder="1" applyAlignment="1">
      <alignment horizontal="left"/>
    </xf>
    <xf numFmtId="0" fontId="17" fillId="0" borderId="1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43" xfId="0" applyFont="1" applyBorder="1" applyAlignment="1">
      <alignment horizontal="left" wrapText="1"/>
    </xf>
    <xf numFmtId="0" fontId="21" fillId="2" borderId="0" xfId="0" applyFont="1" applyFill="1"/>
    <xf numFmtId="0" fontId="8" fillId="0" borderId="0" xfId="0" applyFont="1" applyAlignment="1">
      <alignment wrapText="1"/>
    </xf>
    <xf numFmtId="44" fontId="23" fillId="0" borderId="0" xfId="0" applyNumberFormat="1" applyFont="1"/>
    <xf numFmtId="0" fontId="11" fillId="0" borderId="0" xfId="0" applyFont="1"/>
    <xf numFmtId="164" fontId="24" fillId="0" borderId="0" xfId="0" applyNumberFormat="1" applyFont="1"/>
    <xf numFmtId="0" fontId="4" fillId="0" borderId="34" xfId="0" applyFont="1" applyBorder="1"/>
    <xf numFmtId="44" fontId="6" fillId="0" borderId="14" xfId="0" applyNumberFormat="1" applyFont="1" applyBorder="1" applyAlignment="1">
      <alignment wrapText="1"/>
    </xf>
    <xf numFmtId="164" fontId="6" fillId="0" borderId="14" xfId="0" applyNumberFormat="1" applyFont="1" applyBorder="1" applyAlignment="1">
      <alignment horizontal="left" wrapText="1"/>
    </xf>
    <xf numFmtId="164" fontId="6" fillId="0" borderId="16" xfId="0" applyNumberFormat="1" applyFont="1" applyBorder="1" applyAlignment="1">
      <alignment horizontal="left"/>
    </xf>
    <xf numFmtId="0" fontId="25" fillId="0" borderId="0" xfId="0" applyFont="1"/>
    <xf numFmtId="3" fontId="10" fillId="0" borderId="0" xfId="0" applyNumberFormat="1" applyFont="1" applyAlignment="1">
      <alignment horizontal="right"/>
    </xf>
    <xf numFmtId="3" fontId="10" fillId="0" borderId="11" xfId="0" applyNumberFormat="1" applyFont="1" applyBorder="1" applyAlignment="1">
      <alignment horizontal="right"/>
    </xf>
    <xf numFmtId="0" fontId="4" fillId="0" borderId="44" xfId="0" applyFont="1" applyBorder="1" applyAlignment="1">
      <alignment horizontal="left"/>
    </xf>
    <xf numFmtId="3" fontId="10" fillId="0" borderId="1" xfId="0" applyNumberFormat="1" applyFont="1" applyBorder="1"/>
    <xf numFmtId="44" fontId="6" fillId="0" borderId="14" xfId="0" applyNumberFormat="1" applyFont="1" applyBorder="1" applyAlignment="1">
      <alignment horizontal="right" wrapText="1"/>
    </xf>
    <xf numFmtId="167" fontId="6" fillId="0" borderId="14" xfId="0" applyNumberFormat="1" applyFont="1" applyBorder="1" applyAlignment="1">
      <alignment horizontal="left" wrapText="1"/>
    </xf>
    <xf numFmtId="0" fontId="4" fillId="0" borderId="40" xfId="0" applyFont="1" applyBorder="1" applyAlignment="1">
      <alignment horizontal="left"/>
    </xf>
    <xf numFmtId="0" fontId="2" fillId="0" borderId="42" xfId="0" applyFont="1" applyBorder="1" applyAlignment="1">
      <alignment horizontal="left" wrapText="1"/>
    </xf>
    <xf numFmtId="0" fontId="4" fillId="0" borderId="1" xfId="0" applyFont="1" applyBorder="1"/>
    <xf numFmtId="0" fontId="4" fillId="0" borderId="39" xfId="0" applyFont="1" applyBorder="1"/>
    <xf numFmtId="166" fontId="10" fillId="3" borderId="0" xfId="0" applyNumberFormat="1" applyFont="1" applyFill="1"/>
    <xf numFmtId="166" fontId="10" fillId="3" borderId="1" xfId="0" applyNumberFormat="1" applyFont="1" applyFill="1" applyBorder="1"/>
    <xf numFmtId="0" fontId="2" fillId="0" borderId="7" xfId="0" applyFont="1" applyBorder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167" fontId="5" fillId="0" borderId="0" xfId="0" applyNumberFormat="1" applyFont="1" applyAlignment="1">
      <alignment horizontal="left" wrapText="1"/>
    </xf>
    <xf numFmtId="44" fontId="5" fillId="0" borderId="35" xfId="0" applyNumberFormat="1" applyFont="1" applyBorder="1" applyAlignment="1">
      <alignment horizontal="right" wrapText="1"/>
    </xf>
    <xf numFmtId="164" fontId="26" fillId="0" borderId="0" xfId="0" applyNumberFormat="1" applyFont="1"/>
    <xf numFmtId="164" fontId="6" fillId="0" borderId="0" xfId="0" applyNumberFormat="1" applyFont="1" applyAlignment="1">
      <alignment horizontal="left"/>
    </xf>
    <xf numFmtId="0" fontId="27" fillId="0" borderId="0" xfId="0" applyFont="1" applyAlignment="1">
      <alignment wrapText="1"/>
    </xf>
    <xf numFmtId="0" fontId="4" fillId="0" borderId="25" xfId="0" applyFont="1" applyBorder="1"/>
    <xf numFmtId="44" fontId="4" fillId="0" borderId="27" xfId="0" applyNumberFormat="1" applyFont="1" applyBorder="1"/>
    <xf numFmtId="44" fontId="4" fillId="0" borderId="29" xfId="0" applyNumberFormat="1" applyFont="1" applyBorder="1"/>
    <xf numFmtId="164" fontId="6" fillId="0" borderId="16" xfId="0" applyNumberFormat="1" applyFont="1" applyBorder="1" applyAlignment="1">
      <alignment wrapText="1"/>
    </xf>
    <xf numFmtId="0" fontId="2" fillId="0" borderId="45" xfId="0" applyFont="1" applyBorder="1" applyAlignment="1">
      <alignment horizontal="left" wrapText="1"/>
    </xf>
    <xf numFmtId="0" fontId="3" fillId="0" borderId="32" xfId="0" applyFont="1" applyBorder="1" applyAlignment="1">
      <alignment horizontal="left"/>
    </xf>
    <xf numFmtId="164" fontId="28" fillId="0" borderId="0" xfId="0" applyNumberFormat="1" applyFont="1" applyAlignment="1">
      <alignment wrapText="1"/>
    </xf>
    <xf numFmtId="164" fontId="29" fillId="0" borderId="0" xfId="0" applyNumberFormat="1" applyFont="1"/>
    <xf numFmtId="44" fontId="3" fillId="0" borderId="0" xfId="0" applyNumberFormat="1" applyFont="1" applyAlignment="1">
      <alignment horizontal="center"/>
    </xf>
    <xf numFmtId="164" fontId="6" fillId="0" borderId="16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5" fillId="0" borderId="4" xfId="0" applyFont="1" applyBorder="1"/>
    <xf numFmtId="0" fontId="15" fillId="0" borderId="5" xfId="0" applyFont="1" applyBorder="1"/>
    <xf numFmtId="165" fontId="16" fillId="0" borderId="4" xfId="0" applyNumberFormat="1" applyFont="1" applyBorder="1" applyAlignment="1">
      <alignment horizontal="center" wrapText="1"/>
    </xf>
    <xf numFmtId="0" fontId="12" fillId="0" borderId="18" xfId="0" applyFont="1" applyBorder="1" applyAlignment="1">
      <alignment horizontal="center"/>
    </xf>
    <xf numFmtId="0" fontId="15" fillId="0" borderId="19" xfId="0" applyFont="1" applyBorder="1"/>
    <xf numFmtId="0" fontId="15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114"/>
  <sheetViews>
    <sheetView tabSelected="1" workbookViewId="0"/>
  </sheetViews>
  <sheetFormatPr defaultColWidth="14.42578125" defaultRowHeight="15" customHeight="1"/>
  <cols>
    <col min="1" max="1" width="31.7109375" customWidth="1"/>
    <col min="2" max="2" width="14.7109375" customWidth="1"/>
    <col min="3" max="4" width="16.85546875" customWidth="1"/>
    <col min="5" max="5" width="50.140625" customWidth="1"/>
    <col min="6" max="6" width="24.7109375" customWidth="1"/>
    <col min="7" max="7" width="17" customWidth="1"/>
    <col min="8" max="8" width="25.140625" customWidth="1"/>
    <col min="9" max="9" width="30.28515625" customWidth="1"/>
    <col min="10" max="10" width="13.85546875" customWidth="1"/>
    <col min="11" max="11" width="10.42578125" customWidth="1"/>
  </cols>
  <sheetData>
    <row r="1" spans="1:5" ht="14.25" customHeight="1">
      <c r="A1" s="1" t="s">
        <v>0</v>
      </c>
      <c r="B1" s="2"/>
      <c r="C1" s="2"/>
      <c r="D1" s="2"/>
      <c r="E1" s="2"/>
    </row>
    <row r="2" spans="1:5" ht="14.25" customHeight="1">
      <c r="A2" s="3" t="s">
        <v>1</v>
      </c>
      <c r="B2" s="2"/>
      <c r="C2" s="2"/>
      <c r="D2" s="2"/>
      <c r="E2" s="2"/>
    </row>
    <row r="3" spans="1:5" ht="14.25" customHeight="1">
      <c r="A3" s="4"/>
      <c r="B3" s="2"/>
      <c r="C3" s="2"/>
      <c r="D3" s="2"/>
      <c r="E3" s="2"/>
    </row>
    <row r="4" spans="1:5" ht="14.25" customHeight="1">
      <c r="A4" s="4"/>
      <c r="B4" s="5" t="s">
        <v>2</v>
      </c>
      <c r="C4" s="5" t="s">
        <v>3</v>
      </c>
      <c r="D4" s="5" t="s">
        <v>4</v>
      </c>
      <c r="E4" s="5" t="s">
        <v>5</v>
      </c>
    </row>
    <row r="5" spans="1:5" ht="14.25" customHeight="1">
      <c r="A5" s="6" t="s">
        <v>6</v>
      </c>
      <c r="B5" s="7"/>
      <c r="C5" s="7"/>
      <c r="D5" s="7"/>
      <c r="E5" s="7"/>
    </row>
    <row r="6" spans="1:5" ht="14.25" customHeight="1">
      <c r="A6" s="6" t="s">
        <v>7</v>
      </c>
      <c r="B6" s="8">
        <v>10638.26</v>
      </c>
      <c r="C6" s="7">
        <v>3478.56</v>
      </c>
      <c r="D6" s="7">
        <v>3500</v>
      </c>
      <c r="E6" s="7" t="s">
        <v>8</v>
      </c>
    </row>
    <row r="7" spans="1:5" ht="14.25" customHeight="1">
      <c r="A7" s="6" t="s">
        <v>9</v>
      </c>
      <c r="B7" s="8">
        <v>0</v>
      </c>
      <c r="C7" s="7"/>
      <c r="D7" s="7">
        <v>0</v>
      </c>
      <c r="E7" s="7"/>
    </row>
    <row r="8" spans="1:5" ht="14.25" customHeight="1">
      <c r="A8" s="6" t="s">
        <v>10</v>
      </c>
      <c r="B8" s="9">
        <f>(B6)+(B7)</f>
        <v>10638.26</v>
      </c>
      <c r="C8" s="9">
        <f>SUM(C5:C7)</f>
        <v>3478.56</v>
      </c>
      <c r="D8" s="9">
        <f>(D6)+(D7)</f>
        <v>3500</v>
      </c>
      <c r="E8" s="9"/>
    </row>
    <row r="9" spans="1:5" ht="14.25" customHeight="1">
      <c r="A9" s="6" t="s">
        <v>11</v>
      </c>
      <c r="B9" s="7"/>
      <c r="C9" s="7">
        <v>138</v>
      </c>
      <c r="D9" s="7"/>
      <c r="E9" s="7"/>
    </row>
    <row r="10" spans="1:5" ht="14.25" customHeight="1">
      <c r="A10" s="6" t="s">
        <v>12</v>
      </c>
      <c r="B10" s="8"/>
      <c r="C10" s="7">
        <v>270</v>
      </c>
      <c r="D10" s="7"/>
      <c r="E10" s="7" t="s">
        <v>13</v>
      </c>
    </row>
    <row r="11" spans="1:5" ht="14.25" customHeight="1">
      <c r="A11" s="6" t="s">
        <v>14</v>
      </c>
      <c r="B11" s="8">
        <v>1900</v>
      </c>
      <c r="C11" s="7">
        <v>2200</v>
      </c>
      <c r="D11" s="7">
        <v>2200</v>
      </c>
      <c r="E11" s="7" t="s">
        <v>15</v>
      </c>
    </row>
    <row r="12" spans="1:5" ht="14.25" customHeight="1">
      <c r="A12" s="6" t="s">
        <v>16</v>
      </c>
      <c r="B12" s="7"/>
      <c r="C12" s="7"/>
      <c r="D12" s="7"/>
      <c r="E12" s="7" t="s">
        <v>17</v>
      </c>
    </row>
    <row r="13" spans="1:5" ht="14.25" customHeight="1">
      <c r="A13" s="6" t="s">
        <v>18</v>
      </c>
      <c r="B13" s="8">
        <v>0</v>
      </c>
      <c r="C13" s="7"/>
      <c r="D13" s="7"/>
      <c r="E13" s="7" t="s">
        <v>17</v>
      </c>
    </row>
    <row r="14" spans="1:5" ht="14.25" customHeight="1">
      <c r="A14" s="6" t="s">
        <v>19</v>
      </c>
      <c r="B14" s="8">
        <v>49434.22</v>
      </c>
      <c r="C14" s="7">
        <v>57776.94</v>
      </c>
      <c r="D14" s="7">
        <v>58000</v>
      </c>
      <c r="E14" s="7" t="s">
        <v>20</v>
      </c>
    </row>
    <row r="15" spans="1:5" ht="14.25" customHeight="1">
      <c r="A15" s="6" t="s">
        <v>21</v>
      </c>
      <c r="B15" s="8">
        <v>30856.79</v>
      </c>
      <c r="C15" s="7">
        <v>40713.01</v>
      </c>
      <c r="D15" s="7">
        <v>40000</v>
      </c>
      <c r="E15" s="7" t="s">
        <v>15</v>
      </c>
    </row>
    <row r="16" spans="1:5" ht="14.25" customHeight="1">
      <c r="A16" s="6" t="s">
        <v>22</v>
      </c>
      <c r="B16" s="7"/>
      <c r="C16" s="7">
        <v>242.45</v>
      </c>
      <c r="D16" s="7"/>
      <c r="E16" s="7"/>
    </row>
    <row r="17" spans="1:5" ht="14.25" customHeight="1">
      <c r="A17" s="6" t="s">
        <v>23</v>
      </c>
      <c r="B17" s="7"/>
      <c r="C17" s="7"/>
      <c r="D17" s="7">
        <v>7000</v>
      </c>
      <c r="E17" s="7" t="s">
        <v>24</v>
      </c>
    </row>
    <row r="18" spans="1:5" ht="14.25" customHeight="1">
      <c r="A18" s="6" t="s">
        <v>25</v>
      </c>
      <c r="B18" s="7">
        <v>5984.07</v>
      </c>
      <c r="C18" s="7">
        <v>0</v>
      </c>
      <c r="D18" s="7">
        <v>0</v>
      </c>
      <c r="E18" s="7" t="s">
        <v>26</v>
      </c>
    </row>
    <row r="19" spans="1:5" ht="14.25" customHeight="1">
      <c r="A19" s="6" t="s">
        <v>27</v>
      </c>
      <c r="B19" s="7">
        <v>2579.65</v>
      </c>
      <c r="C19" s="7">
        <v>0</v>
      </c>
      <c r="D19" s="7">
        <v>0</v>
      </c>
      <c r="E19" s="7" t="s">
        <v>26</v>
      </c>
    </row>
    <row r="20" spans="1:5" ht="14.25" customHeight="1">
      <c r="A20" s="6" t="s">
        <v>28</v>
      </c>
      <c r="B20" s="7"/>
      <c r="C20" s="7">
        <v>2910</v>
      </c>
      <c r="D20" s="7">
        <v>3000</v>
      </c>
      <c r="E20" s="7" t="s">
        <v>29</v>
      </c>
    </row>
    <row r="21" spans="1:5" ht="14.25" customHeight="1">
      <c r="A21" s="6" t="s">
        <v>30</v>
      </c>
      <c r="B21" s="8">
        <v>133.74</v>
      </c>
      <c r="C21" s="7">
        <v>0</v>
      </c>
      <c r="D21" s="7">
        <v>0</v>
      </c>
      <c r="E21" s="7" t="s">
        <v>31</v>
      </c>
    </row>
    <row r="22" spans="1:5" ht="14.25" customHeight="1">
      <c r="A22" s="6" t="s">
        <v>32</v>
      </c>
      <c r="B22" s="7"/>
      <c r="C22" s="7"/>
      <c r="D22" s="7"/>
      <c r="E22" s="7" t="s">
        <v>17</v>
      </c>
    </row>
    <row r="23" spans="1:5" ht="14.25" customHeight="1">
      <c r="A23" s="6" t="s">
        <v>33</v>
      </c>
      <c r="B23" s="7"/>
      <c r="C23" s="7"/>
      <c r="D23" s="7"/>
      <c r="E23" s="7" t="s">
        <v>17</v>
      </c>
    </row>
    <row r="24" spans="1:5" ht="14.25" customHeight="1">
      <c r="A24" s="6" t="s">
        <v>34</v>
      </c>
      <c r="B24" s="9">
        <f>(((((((((((B9)+(B11))+(B12)))+(B13))+(B14))+(B15))+(B18))+(B20))+(B21)))+(B23)+B19</f>
        <v>90888.470000000016</v>
      </c>
      <c r="C24" s="9">
        <f>SUM(C23+SUM(C9:C21))</f>
        <v>104250.40000000001</v>
      </c>
      <c r="D24" s="9">
        <f>SUM(D9:D23)</f>
        <v>110200</v>
      </c>
      <c r="E24" s="9"/>
    </row>
    <row r="25" spans="1:5" ht="14.25" customHeight="1">
      <c r="A25" s="6" t="s">
        <v>35</v>
      </c>
      <c r="B25" s="8">
        <v>53330</v>
      </c>
      <c r="C25" s="7">
        <v>59715</v>
      </c>
      <c r="D25" s="7">
        <v>70000</v>
      </c>
      <c r="E25" s="7" t="s">
        <v>36</v>
      </c>
    </row>
    <row r="26" spans="1:5" ht="14.25" customHeight="1">
      <c r="A26" s="6" t="s">
        <v>37</v>
      </c>
      <c r="B26" s="7"/>
      <c r="C26" s="7"/>
      <c r="D26" s="7">
        <v>0</v>
      </c>
      <c r="E26" s="7" t="s">
        <v>17</v>
      </c>
    </row>
    <row r="27" spans="1:5" ht="14.25" customHeight="1">
      <c r="A27" s="6" t="s">
        <v>16</v>
      </c>
      <c r="B27" s="7"/>
      <c r="C27" s="7"/>
      <c r="D27" s="7">
        <v>0</v>
      </c>
      <c r="E27" s="7" t="s">
        <v>17</v>
      </c>
    </row>
    <row r="28" spans="1:5" ht="14.25" customHeight="1">
      <c r="A28" s="6" t="s">
        <v>38</v>
      </c>
      <c r="B28" s="9">
        <f>(B26)+(B27)</f>
        <v>0</v>
      </c>
      <c r="C28" s="9">
        <v>0</v>
      </c>
      <c r="D28" s="9">
        <f>(D26)+(D27)</f>
        <v>0</v>
      </c>
      <c r="E28" s="9"/>
    </row>
    <row r="29" spans="1:5" ht="14.25" customHeight="1">
      <c r="A29" s="6" t="s">
        <v>39</v>
      </c>
      <c r="B29" s="10">
        <f>301473.26-B25-B24-B8+75063.02</f>
        <v>221679.55</v>
      </c>
      <c r="C29" s="10">
        <f>380734.86-167443.96</f>
        <v>213290.9</v>
      </c>
      <c r="D29" s="10">
        <f>'TEAM Summary'!E28</f>
        <v>261377.61000000002</v>
      </c>
      <c r="E29" s="11" t="s">
        <v>40</v>
      </c>
    </row>
    <row r="30" spans="1:5" ht="14.25" customHeight="1">
      <c r="A30" s="6" t="s">
        <v>41</v>
      </c>
      <c r="B30" s="9">
        <f>((((B8)+(B24))+(B25)))+(B28)</f>
        <v>154856.73000000001</v>
      </c>
      <c r="C30" s="9">
        <f t="shared" ref="C30:D30" si="0">((((C8)+(C24))+(C25))+(C28)+C29)</f>
        <v>380734.86</v>
      </c>
      <c r="D30" s="9">
        <f t="shared" si="0"/>
        <v>445077.61</v>
      </c>
      <c r="E30" s="9"/>
    </row>
    <row r="31" spans="1:5" ht="14.25" customHeight="1">
      <c r="A31" s="6" t="s">
        <v>42</v>
      </c>
      <c r="B31" s="9">
        <f>(B30)-(0)</f>
        <v>154856.73000000001</v>
      </c>
      <c r="C31" s="9">
        <f>C30</f>
        <v>380734.86</v>
      </c>
      <c r="D31" s="9">
        <f>(D30)-(0)</f>
        <v>445077.61</v>
      </c>
      <c r="E31" s="9"/>
    </row>
    <row r="32" spans="1:5" ht="14.25" customHeight="1">
      <c r="A32" s="6" t="s">
        <v>43</v>
      </c>
      <c r="B32" s="7"/>
      <c r="C32" s="7"/>
      <c r="D32" s="7"/>
      <c r="E32" s="7"/>
    </row>
    <row r="33" spans="1:5" ht="14.25" customHeight="1">
      <c r="A33" s="6" t="s">
        <v>44</v>
      </c>
      <c r="B33" s="8">
        <v>446.19</v>
      </c>
      <c r="C33" s="7">
        <f>8090.58+100</f>
        <v>8190.58</v>
      </c>
      <c r="D33" s="7">
        <v>175</v>
      </c>
      <c r="E33" s="7" t="s">
        <v>45</v>
      </c>
    </row>
    <row r="34" spans="1:5">
      <c r="A34" s="6" t="s">
        <v>46</v>
      </c>
      <c r="B34" s="8"/>
      <c r="C34" s="7"/>
      <c r="D34" s="7">
        <v>1700</v>
      </c>
      <c r="E34" s="7" t="s">
        <v>47</v>
      </c>
    </row>
    <row r="35" spans="1:5">
      <c r="A35" s="6" t="s">
        <v>48</v>
      </c>
      <c r="B35" s="8"/>
      <c r="C35" s="7">
        <v>50</v>
      </c>
      <c r="D35" s="7">
        <v>50</v>
      </c>
      <c r="E35" s="7"/>
    </row>
    <row r="36" spans="1:5" ht="45.75">
      <c r="A36" s="6" t="s">
        <v>49</v>
      </c>
      <c r="B36" s="8"/>
      <c r="C36" s="7"/>
      <c r="D36" s="7"/>
      <c r="E36" s="7" t="s">
        <v>50</v>
      </c>
    </row>
    <row r="37" spans="1:5" ht="45.75" customHeight="1">
      <c r="A37" s="6" t="s">
        <v>51</v>
      </c>
      <c r="B37" s="8">
        <v>984.43</v>
      </c>
      <c r="C37" s="7">
        <v>2.4</v>
      </c>
      <c r="D37" s="7">
        <v>0</v>
      </c>
      <c r="E37" s="7" t="s">
        <v>52</v>
      </c>
    </row>
    <row r="38" spans="1:5" ht="14.25" customHeight="1">
      <c r="A38" s="6" t="s">
        <v>53</v>
      </c>
      <c r="B38" s="8">
        <f>480+1260.77</f>
        <v>1740.77</v>
      </c>
      <c r="C38" s="7">
        <v>1520</v>
      </c>
      <c r="D38" s="7">
        <f>1300+800</f>
        <v>2100</v>
      </c>
      <c r="E38" s="7" t="s">
        <v>54</v>
      </c>
    </row>
    <row r="39" spans="1:5" ht="14.25" customHeight="1">
      <c r="A39" s="6" t="s">
        <v>55</v>
      </c>
      <c r="B39" s="8">
        <v>2765.74</v>
      </c>
      <c r="C39" s="7">
        <v>5350.64</v>
      </c>
      <c r="D39" s="7">
        <f>2800*1.05</f>
        <v>2940</v>
      </c>
      <c r="E39" s="7" t="s">
        <v>56</v>
      </c>
    </row>
    <row r="40" spans="1:5" ht="14.25" customHeight="1">
      <c r="A40" s="6" t="s">
        <v>57</v>
      </c>
      <c r="B40" s="8">
        <v>174.75</v>
      </c>
      <c r="C40" s="7">
        <v>241.42</v>
      </c>
      <c r="D40" s="7">
        <v>250</v>
      </c>
      <c r="E40" s="7" t="s">
        <v>58</v>
      </c>
    </row>
    <row r="41" spans="1:5" ht="14.25" customHeight="1">
      <c r="A41" s="6" t="s">
        <v>59</v>
      </c>
      <c r="B41" s="8"/>
      <c r="C41" s="7"/>
      <c r="D41" s="7">
        <v>1000</v>
      </c>
      <c r="E41" s="7" t="s">
        <v>60</v>
      </c>
    </row>
    <row r="42" spans="1:5" ht="14.25" customHeight="1">
      <c r="A42" s="6" t="s">
        <v>61</v>
      </c>
      <c r="B42" s="8"/>
      <c r="C42" s="7"/>
      <c r="D42" s="7">
        <f>100+100</f>
        <v>200</v>
      </c>
      <c r="E42" s="7" t="s">
        <v>62</v>
      </c>
    </row>
    <row r="43" spans="1:5" ht="14.25" customHeight="1">
      <c r="A43" s="6" t="s">
        <v>63</v>
      </c>
      <c r="B43" s="8">
        <v>3430.17</v>
      </c>
      <c r="C43" s="7">
        <v>2122.17</v>
      </c>
      <c r="D43" s="7">
        <v>3500</v>
      </c>
      <c r="E43" s="7" t="s">
        <v>64</v>
      </c>
    </row>
    <row r="44" spans="1:5" ht="23.25">
      <c r="A44" s="6" t="s">
        <v>65</v>
      </c>
      <c r="B44" s="8"/>
      <c r="C44" s="7">
        <v>10228.52</v>
      </c>
      <c r="D44" s="7">
        <v>9000</v>
      </c>
      <c r="E44" s="7" t="s">
        <v>66</v>
      </c>
    </row>
    <row r="45" spans="1:5" ht="14.25" customHeight="1">
      <c r="A45" s="6" t="s">
        <v>67</v>
      </c>
      <c r="B45" s="7">
        <v>1704</v>
      </c>
      <c r="C45" s="7">
        <v>1070</v>
      </c>
      <c r="D45" s="7">
        <f>(90*12)+(30*12)</f>
        <v>1440</v>
      </c>
      <c r="E45" s="7" t="s">
        <v>68</v>
      </c>
    </row>
    <row r="46" spans="1:5" ht="14.25" customHeight="1">
      <c r="A46" s="6" t="s">
        <v>69</v>
      </c>
      <c r="B46" s="9">
        <f>((((B33)+(B37))+(B39))+(B41))+(B45)+B38+B43+B40</f>
        <v>11246.05</v>
      </c>
      <c r="C46" s="9">
        <f>SUM(C33:C45)</f>
        <v>28775.73</v>
      </c>
      <c r="D46" s="9">
        <f>((((D33)+(D37))+(D39))+(D41))+(D45)+D42+D38+D36+D35+D40+D43+D44</f>
        <v>20655</v>
      </c>
      <c r="E46" s="9"/>
    </row>
    <row r="47" spans="1:5" ht="14.25" customHeight="1">
      <c r="A47" s="6" t="s">
        <v>70</v>
      </c>
      <c r="B47" s="7"/>
      <c r="C47" s="7"/>
      <c r="D47" s="7"/>
      <c r="E47" s="7"/>
    </row>
    <row r="48" spans="1:5" ht="14.25" customHeight="1">
      <c r="A48" s="6" t="s">
        <v>71</v>
      </c>
      <c r="B48" s="8">
        <v>1050.5899999999999</v>
      </c>
      <c r="C48" s="7"/>
      <c r="D48" s="7">
        <v>1050</v>
      </c>
      <c r="E48" s="7" t="s">
        <v>72</v>
      </c>
    </row>
    <row r="49" spans="1:5" ht="14.25" customHeight="1">
      <c r="A49" s="6" t="s">
        <v>19</v>
      </c>
      <c r="B49" s="8">
        <v>10153.17</v>
      </c>
      <c r="C49" s="7">
        <v>13735.5</v>
      </c>
      <c r="D49" s="7">
        <v>14000</v>
      </c>
      <c r="E49" s="7" t="s">
        <v>73</v>
      </c>
    </row>
    <row r="50" spans="1:5" ht="14.25" customHeight="1">
      <c r="A50" s="6" t="s">
        <v>74</v>
      </c>
      <c r="B50" s="8">
        <v>6838.98</v>
      </c>
      <c r="C50" s="7"/>
      <c r="D50" s="7">
        <v>0</v>
      </c>
      <c r="E50" s="7" t="s">
        <v>26</v>
      </c>
    </row>
    <row r="51" spans="1:5" ht="14.25" customHeight="1">
      <c r="A51" s="6" t="s">
        <v>75</v>
      </c>
      <c r="B51" s="8">
        <v>14746.76</v>
      </c>
      <c r="C51" s="7">
        <v>20123.939999999999</v>
      </c>
      <c r="D51" s="7">
        <v>20000</v>
      </c>
      <c r="E51" s="7" t="s">
        <v>76</v>
      </c>
    </row>
    <row r="52" spans="1:5" ht="14.25" customHeight="1">
      <c r="A52" s="6" t="s">
        <v>77</v>
      </c>
      <c r="B52" s="8"/>
      <c r="C52" s="7">
        <v>1038.72</v>
      </c>
      <c r="D52" s="7">
        <v>1000</v>
      </c>
      <c r="E52" s="7" t="s">
        <v>78</v>
      </c>
    </row>
    <row r="53" spans="1:5" ht="14.25" customHeight="1">
      <c r="A53" s="6" t="s">
        <v>79</v>
      </c>
      <c r="B53" s="8">
        <v>0</v>
      </c>
      <c r="C53" s="7"/>
      <c r="D53" s="7">
        <v>0</v>
      </c>
      <c r="E53" s="7" t="s">
        <v>31</v>
      </c>
    </row>
    <row r="54" spans="1:5" ht="14.25" customHeight="1">
      <c r="A54" s="6" t="s">
        <v>80</v>
      </c>
      <c r="B54" s="9">
        <f>(((B47)+(B48))+(B51))+(B53)</f>
        <v>15797.35</v>
      </c>
      <c r="C54" s="9">
        <f>SUM(C47:C53)</f>
        <v>34898.160000000003</v>
      </c>
      <c r="D54" s="9">
        <f>(((D47)+(D48))+(D51))+(D53)+D49+D50</f>
        <v>35050</v>
      </c>
      <c r="E54" s="9"/>
    </row>
    <row r="55" spans="1:5" ht="14.25" customHeight="1">
      <c r="A55" s="6" t="s">
        <v>81</v>
      </c>
      <c r="B55" s="12">
        <f>299850.54-B68-B54-B46</f>
        <v>257578.12</v>
      </c>
      <c r="C55" s="12">
        <f>475094.84-61069.08-C68</f>
        <v>338603.14</v>
      </c>
      <c r="D55" s="12">
        <f>'TEAM Summary'!J28-D57</f>
        <v>290652.12</v>
      </c>
      <c r="E55" s="12" t="s">
        <v>40</v>
      </c>
    </row>
    <row r="56" spans="1:5" ht="14.25" customHeight="1">
      <c r="A56" s="6" t="s">
        <v>82</v>
      </c>
      <c r="B56" s="8"/>
      <c r="C56" s="8"/>
      <c r="D56" s="8">
        <f>'TEAM Summary'!H28</f>
        <v>35784</v>
      </c>
      <c r="E56" s="8" t="s">
        <v>83</v>
      </c>
    </row>
    <row r="57" spans="1:5" ht="14.25" customHeight="1">
      <c r="A57" s="6" t="s">
        <v>84</v>
      </c>
      <c r="B57" s="8"/>
      <c r="C57" s="8"/>
      <c r="D57" s="8">
        <f>'TEAM Summary'!P28</f>
        <v>1143.8160000000016</v>
      </c>
      <c r="E57" s="8" t="s">
        <v>85</v>
      </c>
    </row>
    <row r="58" spans="1:5" ht="14.25" customHeight="1">
      <c r="A58" s="6" t="s">
        <v>86</v>
      </c>
      <c r="B58" s="8"/>
      <c r="C58" s="8"/>
      <c r="D58" s="8"/>
      <c r="E58" s="8"/>
    </row>
    <row r="59" spans="1:5" ht="14.25" customHeight="1">
      <c r="A59" s="6" t="s">
        <v>87</v>
      </c>
      <c r="B59" s="7"/>
      <c r="C59" s="7"/>
      <c r="D59" s="7"/>
      <c r="E59" s="7"/>
    </row>
    <row r="60" spans="1:5" ht="14.25" customHeight="1">
      <c r="A60" s="6" t="s">
        <v>88</v>
      </c>
      <c r="B60" s="7"/>
      <c r="C60" s="7"/>
      <c r="D60" s="7"/>
      <c r="E60" s="7"/>
    </row>
    <row r="61" spans="1:5" ht="14.25" customHeight="1">
      <c r="A61" s="6" t="s">
        <v>89</v>
      </c>
      <c r="B61" s="7"/>
      <c r="C61" s="7"/>
      <c r="D61" s="7"/>
      <c r="E61" s="7"/>
    </row>
    <row r="62" spans="1:5" ht="14.25" customHeight="1">
      <c r="A62" s="6" t="s">
        <v>90</v>
      </c>
      <c r="B62" s="7"/>
      <c r="C62" s="8"/>
      <c r="D62" s="8"/>
      <c r="E62" s="8"/>
    </row>
    <row r="63" spans="1:5" ht="14.25" customHeight="1">
      <c r="A63" s="6" t="s">
        <v>91</v>
      </c>
      <c r="B63" s="7"/>
      <c r="C63" s="7"/>
      <c r="D63" s="7"/>
      <c r="E63" s="7"/>
    </row>
    <row r="64" spans="1:5" ht="14.25" customHeight="1">
      <c r="A64" s="6" t="s">
        <v>92</v>
      </c>
      <c r="B64" s="8"/>
      <c r="C64" s="7">
        <f>-865-1435.4-20-349</f>
        <v>-2669.4</v>
      </c>
      <c r="D64" s="7"/>
      <c r="E64" s="7" t="s">
        <v>93</v>
      </c>
    </row>
    <row r="65" spans="1:5" ht="14.25" customHeight="1">
      <c r="A65" s="6" t="s">
        <v>94</v>
      </c>
      <c r="B65" s="7"/>
      <c r="C65" s="7">
        <v>64.59</v>
      </c>
      <c r="D65" s="7"/>
      <c r="E65" s="7"/>
    </row>
    <row r="66" spans="1:5" ht="14.25" customHeight="1">
      <c r="A66" s="6" t="s">
        <v>95</v>
      </c>
      <c r="B66" s="8"/>
      <c r="C66" s="7"/>
      <c r="D66" s="7"/>
      <c r="E66" s="7"/>
    </row>
    <row r="67" spans="1:5" ht="14.25" customHeight="1">
      <c r="A67" s="6" t="s">
        <v>96</v>
      </c>
      <c r="B67" s="7"/>
      <c r="C67" s="7"/>
      <c r="D67" s="7"/>
      <c r="E67" s="7"/>
    </row>
    <row r="68" spans="1:5" ht="14.25" customHeight="1">
      <c r="A68" s="6" t="s">
        <v>97</v>
      </c>
      <c r="B68" s="8">
        <f>12200+3029.02</f>
        <v>15229.02</v>
      </c>
      <c r="C68" s="12">
        <f>44667.62+12705+18050</f>
        <v>75422.62</v>
      </c>
      <c r="D68" s="12">
        <f>'TEAM Summary'!F28</f>
        <v>60543</v>
      </c>
      <c r="E68" s="12" t="s">
        <v>98</v>
      </c>
    </row>
    <row r="69" spans="1:5" ht="14.25" customHeight="1">
      <c r="A69" s="6" t="s">
        <v>99</v>
      </c>
      <c r="B69" s="7">
        <v>0</v>
      </c>
      <c r="C69" s="7"/>
      <c r="D69" s="7">
        <f>D68*8.84%</f>
        <v>5352.0011999999997</v>
      </c>
      <c r="E69" s="7" t="s">
        <v>100</v>
      </c>
    </row>
    <row r="70" spans="1:5" ht="14.25" customHeight="1">
      <c r="A70" s="6" t="s">
        <v>101</v>
      </c>
      <c r="B70" s="7"/>
      <c r="C70" s="7">
        <v>0</v>
      </c>
      <c r="D70" s="7">
        <v>0</v>
      </c>
      <c r="E70" s="7"/>
    </row>
    <row r="71" spans="1:5" ht="14.25" customHeight="1">
      <c r="A71" s="6" t="s">
        <v>102</v>
      </c>
      <c r="B71" s="9">
        <f>((B68)+(B70))+(B69)</f>
        <v>15229.02</v>
      </c>
      <c r="C71" s="9">
        <f>C68</f>
        <v>75422.62</v>
      </c>
      <c r="D71" s="9">
        <f>((D68)+(D70))+(D69)</f>
        <v>65895.001199999999</v>
      </c>
      <c r="E71" s="9"/>
    </row>
    <row r="72" spans="1:5" ht="14.25" hidden="1" customHeight="1">
      <c r="A72" s="6" t="s">
        <v>61</v>
      </c>
      <c r="B72" s="7"/>
      <c r="C72" s="7"/>
      <c r="D72" s="7"/>
      <c r="E72" s="7"/>
    </row>
    <row r="73" spans="1:5" ht="14.25" hidden="1" customHeight="1">
      <c r="A73" s="6" t="s">
        <v>103</v>
      </c>
      <c r="B73" s="7"/>
      <c r="C73" s="7"/>
      <c r="D73" s="7"/>
      <c r="E73" s="7"/>
    </row>
    <row r="74" spans="1:5" ht="14.25" hidden="1" customHeight="1">
      <c r="A74" s="6" t="s">
        <v>104</v>
      </c>
      <c r="B74" s="7"/>
      <c r="C74" s="7"/>
      <c r="D74" s="7"/>
      <c r="E74" s="7"/>
    </row>
    <row r="75" spans="1:5" ht="14.25" hidden="1" customHeight="1">
      <c r="A75" s="6" t="s">
        <v>105</v>
      </c>
      <c r="B75" s="7"/>
      <c r="C75" s="7"/>
      <c r="D75" s="7"/>
      <c r="E75" s="7"/>
    </row>
    <row r="76" spans="1:5" ht="14.25" hidden="1" customHeight="1">
      <c r="A76" s="6" t="s">
        <v>106</v>
      </c>
      <c r="B76" s="7"/>
      <c r="C76" s="7"/>
      <c r="D76" s="7"/>
      <c r="E76" s="7"/>
    </row>
    <row r="77" spans="1:5" ht="14.25" hidden="1" customHeight="1">
      <c r="A77" s="6" t="s">
        <v>107</v>
      </c>
      <c r="B77" s="7"/>
      <c r="C77" s="7"/>
      <c r="D77" s="7"/>
      <c r="E77" s="7"/>
    </row>
    <row r="78" spans="1:5" ht="14.25" hidden="1" customHeight="1">
      <c r="A78" s="6" t="s">
        <v>108</v>
      </c>
      <c r="B78" s="7"/>
      <c r="C78" s="7"/>
      <c r="D78" s="7"/>
      <c r="E78" s="7"/>
    </row>
    <row r="79" spans="1:5" ht="14.25" customHeight="1">
      <c r="A79" s="6" t="s">
        <v>109</v>
      </c>
      <c r="B79" s="9">
        <f>((((((((((((((((((B55)+(B58))+(B59))+(B60))+(B61))+(B62))+(B63))+(B64))+(B65))+(B66))+(B67))+(B71))+(B72))+(B73))+(B74))+(B75))+(B76))+(B77))+(B78)</f>
        <v>272807.14</v>
      </c>
      <c r="C79" s="9">
        <f t="shared" ref="C79:D79" si="1">SUM(C55:C70)</f>
        <v>411420.95</v>
      </c>
      <c r="D79" s="9">
        <f t="shared" si="1"/>
        <v>393474.93719999999</v>
      </c>
      <c r="E79" s="9"/>
    </row>
    <row r="80" spans="1:5" ht="14.25" customHeight="1">
      <c r="A80" s="6" t="s">
        <v>110</v>
      </c>
      <c r="B80" s="9">
        <f>((B46)+(B54))+(B79)</f>
        <v>299850.54000000004</v>
      </c>
      <c r="C80" s="9">
        <f>C79+C54+C46</f>
        <v>475094.83999999997</v>
      </c>
      <c r="D80" s="9">
        <f>((D46)+(D54))+(D79)</f>
        <v>449179.93719999999</v>
      </c>
      <c r="E80" s="9"/>
    </row>
    <row r="81" spans="1:5" ht="14.25" customHeight="1">
      <c r="A81" s="6" t="s">
        <v>111</v>
      </c>
      <c r="B81" s="9">
        <f>(B31)-(B80)</f>
        <v>-144993.81000000003</v>
      </c>
      <c r="C81" s="13">
        <v>-121093.46999999991</v>
      </c>
      <c r="D81" s="13">
        <f>(D31)-(D80)</f>
        <v>-4102.3271999999997</v>
      </c>
      <c r="E81" s="13"/>
    </row>
    <row r="82" spans="1:5" ht="14.25" customHeight="1">
      <c r="A82" s="6" t="s">
        <v>112</v>
      </c>
      <c r="B82" s="7"/>
      <c r="C82" s="7"/>
      <c r="D82" s="7"/>
      <c r="E82" s="7"/>
    </row>
    <row r="83" spans="1:5" ht="14.25" customHeight="1">
      <c r="A83" s="6" t="s">
        <v>113</v>
      </c>
      <c r="B83" s="8">
        <v>91.84</v>
      </c>
      <c r="C83" s="7">
        <v>124</v>
      </c>
      <c r="D83" s="7">
        <v>92</v>
      </c>
      <c r="E83" s="7" t="s">
        <v>72</v>
      </c>
    </row>
    <row r="84" spans="1:5" ht="14.25" customHeight="1">
      <c r="A84" s="6" t="s">
        <v>114</v>
      </c>
      <c r="B84" s="7"/>
      <c r="C84" s="7">
        <v>43131.17</v>
      </c>
      <c r="D84" s="7"/>
      <c r="E84" s="7"/>
    </row>
    <row r="85" spans="1:5" ht="14.25" customHeight="1">
      <c r="A85" s="6" t="s">
        <v>115</v>
      </c>
      <c r="B85" s="7"/>
      <c r="C85" s="7">
        <v>33350.339999999997</v>
      </c>
      <c r="D85" s="7"/>
      <c r="E85" s="7"/>
    </row>
    <row r="86" spans="1:5" ht="14.25" customHeight="1">
      <c r="A86" s="6" t="s">
        <v>116</v>
      </c>
      <c r="B86" s="9">
        <f>(B84)+(B85)</f>
        <v>0</v>
      </c>
      <c r="C86" s="9">
        <f>C85+C84+C83</f>
        <v>76605.509999999995</v>
      </c>
      <c r="D86" s="9">
        <f>(D84)+(D85)</f>
        <v>0</v>
      </c>
      <c r="E86" s="9"/>
    </row>
    <row r="87" spans="1:5" ht="14.25" customHeight="1">
      <c r="A87" s="6" t="s">
        <v>117</v>
      </c>
      <c r="B87" s="9">
        <f>(B83)+(B86)</f>
        <v>91.84</v>
      </c>
      <c r="C87" s="9">
        <f t="shared" ref="C87:C88" si="2">C86</f>
        <v>76605.509999999995</v>
      </c>
      <c r="D87" s="9">
        <f>(D83)+(D86)</f>
        <v>92</v>
      </c>
      <c r="E87" s="9"/>
    </row>
    <row r="88" spans="1:5" ht="14.25" customHeight="1">
      <c r="A88" s="6" t="s">
        <v>118</v>
      </c>
      <c r="B88" s="9">
        <f>(B87)-(0)</f>
        <v>91.84</v>
      </c>
      <c r="C88" s="9">
        <f t="shared" si="2"/>
        <v>76605.509999999995</v>
      </c>
      <c r="D88" s="9">
        <f>(D87)-(0)</f>
        <v>92</v>
      </c>
      <c r="E88" s="9"/>
    </row>
    <row r="89" spans="1:5" ht="14.25" customHeight="1">
      <c r="A89" s="6" t="s">
        <v>119</v>
      </c>
      <c r="B89" s="9">
        <f>(B81)+(B88)</f>
        <v>-144901.97000000003</v>
      </c>
      <c r="C89" s="13">
        <f>C31-C80+C88</f>
        <v>-17754.469999999987</v>
      </c>
      <c r="D89" s="13">
        <f>(D81)+(D88)</f>
        <v>-4010.3271999999997</v>
      </c>
      <c r="E89" s="13"/>
    </row>
    <row r="90" spans="1:5" ht="14.25" customHeight="1">
      <c r="A90" s="6"/>
      <c r="B90" s="14"/>
      <c r="C90" s="14"/>
      <c r="D90" s="14"/>
      <c r="E90" s="14"/>
    </row>
    <row r="91" spans="1:5" ht="14.25" customHeight="1">
      <c r="A91" s="6" t="s">
        <v>120</v>
      </c>
      <c r="C91" s="15"/>
      <c r="D91" s="16" t="s">
        <v>121</v>
      </c>
      <c r="E91" s="16"/>
    </row>
    <row r="92" spans="1:5" ht="14.25" customHeight="1">
      <c r="A92" s="6" t="s">
        <v>122</v>
      </c>
      <c r="C92" s="17"/>
      <c r="D92" s="18">
        <f>311532.96-17754.47</f>
        <v>293778.49</v>
      </c>
      <c r="E92" s="18"/>
    </row>
    <row r="93" spans="1:5" ht="14.25" customHeight="1">
      <c r="A93" s="6" t="s">
        <v>123</v>
      </c>
      <c r="C93" s="17"/>
      <c r="D93" s="18">
        <f>166519.28</f>
        <v>166519.28</v>
      </c>
      <c r="E93" s="18"/>
    </row>
    <row r="94" spans="1:5" ht="14.25" customHeight="1">
      <c r="A94" s="6" t="s">
        <v>120</v>
      </c>
      <c r="C94" s="17"/>
      <c r="D94" s="18">
        <f>SUM(D92:D93)</f>
        <v>460297.77</v>
      </c>
      <c r="E94" s="18"/>
    </row>
    <row r="95" spans="1:5" ht="14.25" customHeight="1">
      <c r="A95" s="6"/>
      <c r="C95" s="19"/>
      <c r="D95" s="20"/>
      <c r="E95" s="20"/>
    </row>
    <row r="96" spans="1:5" ht="14.25" customHeight="1">
      <c r="A96" s="6" t="s">
        <v>124</v>
      </c>
      <c r="C96" s="17"/>
      <c r="D96" s="18">
        <f>D89+D94</f>
        <v>456287.44280000002</v>
      </c>
      <c r="E96" s="18"/>
    </row>
    <row r="97" spans="1:10" ht="14.25" customHeight="1">
      <c r="A97" s="6" t="s">
        <v>125</v>
      </c>
      <c r="C97" s="21"/>
      <c r="D97" s="22">
        <f>(D96)/(D80-D35)</f>
        <v>1.0159363805597594</v>
      </c>
      <c r="E97" s="22" t="s">
        <v>126</v>
      </c>
    </row>
    <row r="98" spans="1:10" ht="14.25" customHeight="1">
      <c r="A98" s="6" t="s">
        <v>127</v>
      </c>
      <c r="C98" s="19"/>
      <c r="D98" s="20">
        <f>D96/((D80-D35)/12)</f>
        <v>12.191236566717114</v>
      </c>
      <c r="E98" s="20" t="s">
        <v>128</v>
      </c>
    </row>
    <row r="99" spans="1:10" ht="14.25" customHeight="1">
      <c r="C99" s="15"/>
      <c r="D99" s="16"/>
      <c r="E99" s="16"/>
    </row>
    <row r="100" spans="1:10" ht="14.25" customHeight="1">
      <c r="A100" s="23" t="s">
        <v>129</v>
      </c>
      <c r="C100" s="15"/>
      <c r="D100" s="15"/>
      <c r="E100" s="15"/>
    </row>
    <row r="101" spans="1:10" ht="14.25" customHeight="1">
      <c r="A101" s="24" t="s">
        <v>130</v>
      </c>
      <c r="C101" s="15"/>
      <c r="D101" s="15"/>
      <c r="E101" s="15"/>
    </row>
    <row r="102" spans="1:10" ht="14.25" customHeight="1">
      <c r="A102" s="24" t="s">
        <v>131</v>
      </c>
      <c r="C102" s="15"/>
      <c r="D102" s="15"/>
      <c r="E102" s="15"/>
    </row>
    <row r="103" spans="1:10" ht="14.25" customHeight="1">
      <c r="C103" s="15"/>
      <c r="D103" s="15"/>
      <c r="E103" s="15"/>
    </row>
    <row r="104" spans="1:10" ht="44.25" customHeight="1">
      <c r="A104" s="6"/>
      <c r="C104" s="25"/>
      <c r="D104" s="26" t="s">
        <v>132</v>
      </c>
      <c r="E104" s="27"/>
      <c r="F104" s="27" t="s">
        <v>122</v>
      </c>
      <c r="G104" s="28" t="s">
        <v>133</v>
      </c>
      <c r="H104" s="27" t="s">
        <v>134</v>
      </c>
      <c r="I104" s="27" t="s">
        <v>135</v>
      </c>
      <c r="J104" s="29" t="s">
        <v>136</v>
      </c>
    </row>
    <row r="105" spans="1:10" ht="14.25" customHeight="1">
      <c r="C105" s="15"/>
      <c r="D105" s="30"/>
      <c r="E105" s="31" t="s">
        <v>137</v>
      </c>
      <c r="F105" s="31">
        <f>D92</f>
        <v>293778.49</v>
      </c>
      <c r="G105" s="31">
        <f>D93-H105-I105</f>
        <v>144688.19</v>
      </c>
      <c r="H105" s="31">
        <v>19831.09</v>
      </c>
      <c r="I105" s="31">
        <v>2000</v>
      </c>
      <c r="J105" s="32">
        <f t="shared" ref="J105:J108" si="3">F105+G105+H105+I105</f>
        <v>460297.77</v>
      </c>
    </row>
    <row r="106" spans="1:10" ht="14.25" customHeight="1">
      <c r="C106" s="15"/>
      <c r="D106" s="30"/>
      <c r="E106" s="17" t="s">
        <v>138</v>
      </c>
      <c r="F106" s="17">
        <f>-D69-D68-D54-D46+D41</f>
        <v>-120600.0012</v>
      </c>
      <c r="G106" s="17"/>
      <c r="H106" s="17"/>
      <c r="I106" s="17">
        <f>-D41</f>
        <v>-1000</v>
      </c>
      <c r="J106" s="33">
        <f t="shared" si="3"/>
        <v>-121600.0012</v>
      </c>
    </row>
    <row r="107" spans="1:10" ht="14.25" customHeight="1">
      <c r="C107" s="15"/>
      <c r="D107" s="30"/>
      <c r="E107" s="17" t="s">
        <v>139</v>
      </c>
      <c r="F107" s="17"/>
      <c r="G107" s="17"/>
      <c r="H107" s="17"/>
      <c r="I107" s="17"/>
      <c r="J107" s="33">
        <f t="shared" si="3"/>
        <v>0</v>
      </c>
    </row>
    <row r="108" spans="1:10" ht="14.25" customHeight="1">
      <c r="C108" s="15"/>
      <c r="D108" s="30"/>
      <c r="E108" s="17" t="s">
        <v>140</v>
      </c>
      <c r="F108" s="17">
        <f>-'TEAM Summary'!Q28-D57</f>
        <v>-36927.815999999999</v>
      </c>
      <c r="G108" s="17">
        <f>-'TEAM Summary'!N28-'TEAM Summary'!O28+D57</f>
        <v>-290652.12</v>
      </c>
      <c r="H108" s="17"/>
      <c r="I108" s="17"/>
      <c r="J108" s="33">
        <f t="shared" si="3"/>
        <v>-327579.93599999999</v>
      </c>
    </row>
    <row r="109" spans="1:10" ht="14.25" customHeight="1">
      <c r="C109" s="15"/>
      <c r="D109" s="30"/>
      <c r="E109" s="17" t="s">
        <v>141</v>
      </c>
      <c r="F109" s="17">
        <f t="shared" ref="F109:J109" si="4">SUM(F105:F108)</f>
        <v>136250.6728</v>
      </c>
      <c r="G109" s="34">
        <f t="shared" si="4"/>
        <v>-145963.93</v>
      </c>
      <c r="H109" s="34">
        <f t="shared" si="4"/>
        <v>19831.09</v>
      </c>
      <c r="I109" s="34">
        <f t="shared" si="4"/>
        <v>1000</v>
      </c>
      <c r="J109" s="35">
        <f t="shared" si="4"/>
        <v>11117.832800000033</v>
      </c>
    </row>
    <row r="110" spans="1:10" ht="14.25" customHeight="1">
      <c r="C110" s="15"/>
      <c r="D110" s="30"/>
      <c r="E110" s="17" t="s">
        <v>142</v>
      </c>
      <c r="F110" s="17">
        <f>D24+D25+D8+D87</f>
        <v>183792</v>
      </c>
      <c r="G110" s="17">
        <f>D29</f>
        <v>261377.61000000002</v>
      </c>
      <c r="H110" s="17"/>
      <c r="I110" s="17"/>
      <c r="J110" s="33">
        <f>F110+G110+H110</f>
        <v>445169.61</v>
      </c>
    </row>
    <row r="111" spans="1:10" ht="14.25" customHeight="1">
      <c r="C111" s="15"/>
      <c r="D111" s="30"/>
      <c r="E111" s="31" t="s">
        <v>143</v>
      </c>
      <c r="F111" s="31">
        <f t="shared" ref="F111:J111" si="5">F109+F110</f>
        <v>320042.6728</v>
      </c>
      <c r="G111" s="31">
        <f t="shared" si="5"/>
        <v>115413.68000000002</v>
      </c>
      <c r="H111" s="31">
        <f t="shared" si="5"/>
        <v>19831.09</v>
      </c>
      <c r="I111" s="31">
        <f t="shared" si="5"/>
        <v>1000</v>
      </c>
      <c r="J111" s="32">
        <f t="shared" si="5"/>
        <v>456287.44280000002</v>
      </c>
    </row>
    <row r="112" spans="1:10" ht="14.25" customHeight="1">
      <c r="C112" s="15"/>
      <c r="D112" s="36"/>
      <c r="E112" s="37"/>
      <c r="F112" s="37"/>
      <c r="G112" s="37"/>
      <c r="H112" s="37"/>
      <c r="I112" s="37"/>
      <c r="J112" s="38">
        <f>J111-J105</f>
        <v>-4010.3271999999997</v>
      </c>
    </row>
    <row r="113" spans="3:10" ht="14.25" customHeight="1">
      <c r="C113" s="15"/>
      <c r="D113" s="15"/>
      <c r="E113" s="15"/>
      <c r="F113" s="39"/>
      <c r="G113" s="40"/>
      <c r="H113" s="40"/>
      <c r="I113" s="40"/>
      <c r="J113" s="40"/>
    </row>
    <row r="114" spans="3:10" ht="14.25" customHeight="1">
      <c r="C114" s="15"/>
      <c r="D114" s="15"/>
      <c r="E114" s="15"/>
      <c r="F114" s="41"/>
      <c r="G114" s="42"/>
      <c r="H114" s="42"/>
      <c r="I114" s="42"/>
      <c r="J114" s="42"/>
    </row>
  </sheetData>
  <pageMargins left="0.25" right="0.25" top="0.75" bottom="0.75" header="0" footer="0"/>
  <pageSetup orientation="landscape"/>
  <rowBreaks count="2" manualBreakCount="2">
    <brk id="54" man="1"/>
    <brk id="31" man="1"/>
  </rowBreaks>
  <colBreaks count="2" manualBreakCount="2">
    <brk man="1"/>
    <brk id="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978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2" width="12" customWidth="1"/>
    <col min="3" max="3" width="16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375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v>0</v>
      </c>
      <c r="C2" s="15"/>
      <c r="D2" s="115" t="s">
        <v>376</v>
      </c>
      <c r="E2" s="116" t="s">
        <v>229</v>
      </c>
      <c r="F2" s="117">
        <v>10</v>
      </c>
      <c r="G2" s="118" t="s">
        <v>230</v>
      </c>
    </row>
    <row r="3" spans="1:7" ht="14.25" customHeight="1">
      <c r="B3" s="108"/>
      <c r="C3" s="15"/>
      <c r="D3" s="115" t="s">
        <v>377</v>
      </c>
      <c r="E3" s="116" t="s">
        <v>347</v>
      </c>
      <c r="F3" s="120">
        <v>12</v>
      </c>
      <c r="G3" s="118" t="s">
        <v>230</v>
      </c>
    </row>
    <row r="4" spans="1:7" ht="14.25" customHeight="1">
      <c r="A4" s="24" t="s">
        <v>378</v>
      </c>
      <c r="B4" s="108"/>
      <c r="C4" s="15"/>
      <c r="D4" s="160" t="s">
        <v>288</v>
      </c>
      <c r="E4" s="116" t="s">
        <v>233</v>
      </c>
      <c r="F4" s="117">
        <f>F2+F3</f>
        <v>22</v>
      </c>
      <c r="G4" s="118"/>
    </row>
    <row r="5" spans="1:7" ht="14.25" customHeight="1">
      <c r="B5" s="108"/>
      <c r="C5" s="15"/>
      <c r="D5" s="119"/>
      <c r="E5" s="116"/>
      <c r="G5" s="118"/>
    </row>
    <row r="6" spans="1:7" ht="14.25" customHeight="1">
      <c r="B6" s="121"/>
      <c r="C6" s="122"/>
      <c r="D6" s="178"/>
      <c r="E6" s="124" t="s">
        <v>234</v>
      </c>
      <c r="F6" s="125">
        <f>5</f>
        <v>5</v>
      </c>
      <c r="G6" s="126" t="s">
        <v>235</v>
      </c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>
        <v>1895.4</v>
      </c>
      <c r="C9" s="132">
        <f t="shared" ref="C9:C13" si="0">B9</f>
        <v>1895.4</v>
      </c>
      <c r="D9" s="131" t="s">
        <v>379</v>
      </c>
    </row>
    <row r="10" spans="1:7" ht="14.25" customHeight="1">
      <c r="A10" s="6" t="s">
        <v>239</v>
      </c>
      <c r="B10" s="7"/>
      <c r="C10" s="132">
        <f t="shared" si="0"/>
        <v>0</v>
      </c>
      <c r="D10" s="131"/>
    </row>
    <row r="11" spans="1:7" ht="14.25" customHeight="1">
      <c r="A11" s="6" t="s">
        <v>380</v>
      </c>
      <c r="B11" s="7">
        <v>2887.15</v>
      </c>
      <c r="C11" s="132">
        <f t="shared" si="0"/>
        <v>2887.15</v>
      </c>
      <c r="D11" s="131"/>
    </row>
    <row r="12" spans="1:7" ht="14.25" customHeight="1">
      <c r="A12" s="6" t="s">
        <v>241</v>
      </c>
      <c r="B12" s="7"/>
      <c r="C12" s="132">
        <f t="shared" si="0"/>
        <v>0</v>
      </c>
      <c r="D12" s="131" t="s">
        <v>242</v>
      </c>
    </row>
    <row r="13" spans="1:7" ht="14.25" customHeight="1">
      <c r="A13" s="6" t="s">
        <v>243</v>
      </c>
      <c r="B13" s="7"/>
      <c r="C13" s="132">
        <f t="shared" si="0"/>
        <v>0</v>
      </c>
      <c r="D13" s="131"/>
    </row>
    <row r="14" spans="1:7" ht="14.25" customHeight="1">
      <c r="A14" s="6" t="s">
        <v>37</v>
      </c>
      <c r="B14" s="7"/>
      <c r="C14" s="132"/>
      <c r="D14" s="131"/>
    </row>
    <row r="15" spans="1:7" ht="14.25" customHeight="1">
      <c r="A15" s="6" t="s">
        <v>308</v>
      </c>
      <c r="B15" s="7"/>
      <c r="C15" s="132"/>
      <c r="D15" s="131"/>
    </row>
    <row r="16" spans="1:7" ht="14.25" customHeight="1">
      <c r="A16" s="6" t="s">
        <v>246</v>
      </c>
      <c r="B16" s="7"/>
      <c r="C16" s="132"/>
      <c r="D16" s="131"/>
    </row>
    <row r="17" spans="1:27" ht="14.25" customHeight="1">
      <c r="A17" s="6" t="s">
        <v>248</v>
      </c>
      <c r="B17" s="134"/>
      <c r="C17" s="180">
        <v>5800</v>
      </c>
      <c r="D17" s="181" t="s">
        <v>338</v>
      </c>
    </row>
    <row r="18" spans="1:27" ht="14.25" customHeight="1">
      <c r="A18" s="6" t="s">
        <v>41</v>
      </c>
      <c r="B18" s="137">
        <f>SUM(B9:B16)</f>
        <v>4782.55</v>
      </c>
      <c r="C18" s="137">
        <f>SUM(C9:C17)</f>
        <v>10582.55</v>
      </c>
      <c r="D18" s="138"/>
    </row>
    <row r="19" spans="1:27" ht="14.25" customHeight="1">
      <c r="A19" s="6"/>
      <c r="B19" s="137"/>
      <c r="C19" s="137"/>
      <c r="D19" s="138"/>
    </row>
    <row r="20" spans="1:27" ht="14.25" customHeight="1">
      <c r="A20" s="6" t="s">
        <v>43</v>
      </c>
      <c r="B20" s="7"/>
      <c r="C20" s="130"/>
      <c r="D20" s="131"/>
    </row>
    <row r="21" spans="1:27" ht="14.25" customHeight="1">
      <c r="A21" s="6" t="s">
        <v>70</v>
      </c>
      <c r="B21" s="7"/>
      <c r="C21" s="130"/>
      <c r="D21" s="131"/>
    </row>
    <row r="22" spans="1:27" ht="14.25" customHeight="1">
      <c r="A22" s="6" t="s">
        <v>249</v>
      </c>
      <c r="B22" s="7">
        <v>0</v>
      </c>
      <c r="C22" s="130"/>
      <c r="D22" s="131"/>
    </row>
    <row r="23" spans="1:27" ht="14.25" customHeight="1">
      <c r="A23" s="6" t="s">
        <v>250</v>
      </c>
      <c r="B23" s="7">
        <v>0</v>
      </c>
      <c r="C23" s="130"/>
      <c r="D23" s="131"/>
    </row>
    <row r="24" spans="1:27" ht="14.25" customHeight="1">
      <c r="A24" s="6" t="s">
        <v>251</v>
      </c>
      <c r="B24" s="7">
        <v>0</v>
      </c>
      <c r="C24" s="130"/>
      <c r="D24" s="131"/>
    </row>
    <row r="25" spans="1:27" ht="14.25" customHeight="1">
      <c r="A25" s="6" t="s">
        <v>310</v>
      </c>
      <c r="B25" s="7">
        <v>0</v>
      </c>
      <c r="C25" s="130"/>
      <c r="D25" s="131"/>
    </row>
    <row r="26" spans="1:27" ht="14.25" customHeight="1">
      <c r="A26" s="6" t="s">
        <v>252</v>
      </c>
      <c r="B26" s="7">
        <v>0</v>
      </c>
      <c r="C26" s="130"/>
      <c r="D26" s="131"/>
    </row>
    <row r="27" spans="1:27" ht="14.25" customHeight="1">
      <c r="A27" s="6" t="s">
        <v>253</v>
      </c>
      <c r="B27" s="137">
        <f t="shared" ref="B27:C27" si="1">SUM(B22:B26)</f>
        <v>0</v>
      </c>
      <c r="C27" s="137">
        <f t="shared" si="1"/>
        <v>0</v>
      </c>
      <c r="D27" s="138"/>
    </row>
    <row r="28" spans="1:27" ht="14.25" customHeight="1">
      <c r="A28" s="6" t="s">
        <v>81</v>
      </c>
      <c r="B28" s="7"/>
      <c r="C28" s="130"/>
      <c r="D28" s="131"/>
    </row>
    <row r="29" spans="1:27" ht="14.25" customHeight="1">
      <c r="A29" s="6" t="s">
        <v>86</v>
      </c>
      <c r="B29" s="8">
        <v>0</v>
      </c>
      <c r="C29" s="139"/>
      <c r="D29" s="131"/>
    </row>
    <row r="30" spans="1:27" ht="14.25" customHeight="1">
      <c r="A30" s="6" t="s">
        <v>87</v>
      </c>
      <c r="B30" s="7">
        <v>0</v>
      </c>
      <c r="C30" s="130"/>
      <c r="D30" s="131"/>
    </row>
    <row r="31" spans="1:27" ht="14.25" customHeight="1">
      <c r="A31" s="167" t="s">
        <v>255</v>
      </c>
      <c r="B31" s="168">
        <v>0</v>
      </c>
      <c r="C31" s="34"/>
      <c r="D31" s="141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</row>
    <row r="32" spans="1:27" ht="14.25" customHeight="1">
      <c r="A32" s="6" t="s">
        <v>88</v>
      </c>
      <c r="B32" s="7">
        <v>0</v>
      </c>
      <c r="C32" s="130"/>
      <c r="D32" s="131"/>
    </row>
    <row r="33" spans="1:4" ht="14.25" customHeight="1">
      <c r="A33" s="6" t="s">
        <v>294</v>
      </c>
      <c r="B33" s="8">
        <v>0</v>
      </c>
      <c r="C33" s="139"/>
      <c r="D33" s="131"/>
    </row>
    <row r="34" spans="1:4" ht="14.25" customHeight="1">
      <c r="A34" s="6" t="s">
        <v>92</v>
      </c>
      <c r="B34" s="7">
        <v>3032</v>
      </c>
      <c r="C34" s="130">
        <f>B34</f>
        <v>3032</v>
      </c>
      <c r="D34" s="131" t="s">
        <v>381</v>
      </c>
    </row>
    <row r="35" spans="1:4" ht="14.25" customHeight="1">
      <c r="A35" s="6" t="s">
        <v>259</v>
      </c>
      <c r="B35" s="7">
        <v>0</v>
      </c>
      <c r="C35" s="130"/>
      <c r="D35" s="131" t="s">
        <v>260</v>
      </c>
    </row>
    <row r="36" spans="1:4" ht="14.25" customHeight="1">
      <c r="A36" s="6" t="s">
        <v>261</v>
      </c>
      <c r="B36" s="7"/>
      <c r="C36" s="130">
        <f>35*F6</f>
        <v>175</v>
      </c>
      <c r="D36" s="131" t="s">
        <v>262</v>
      </c>
    </row>
    <row r="37" spans="1:4" ht="14.25" customHeight="1">
      <c r="A37" s="6" t="s">
        <v>263</v>
      </c>
      <c r="B37" s="7">
        <v>0</v>
      </c>
      <c r="C37" s="130"/>
      <c r="D37" s="131" t="s">
        <v>382</v>
      </c>
    </row>
    <row r="38" spans="1:4" ht="14.25" customHeight="1">
      <c r="A38" s="6" t="s">
        <v>265</v>
      </c>
      <c r="B38" s="7">
        <v>660.04</v>
      </c>
      <c r="C38" s="130">
        <f>B38</f>
        <v>660.04</v>
      </c>
      <c r="D38" s="131"/>
    </row>
    <row r="39" spans="1:4" ht="14.25" customHeight="1">
      <c r="A39" s="6" t="s">
        <v>104</v>
      </c>
      <c r="B39" s="7">
        <v>0</v>
      </c>
      <c r="C39" s="130"/>
      <c r="D39" s="131"/>
    </row>
    <row r="40" spans="1:4" ht="14.25" customHeight="1">
      <c r="A40" s="6" t="s">
        <v>105</v>
      </c>
      <c r="B40" s="7">
        <v>0</v>
      </c>
      <c r="C40" s="130"/>
      <c r="D40" s="131"/>
    </row>
    <row r="41" spans="1:4" ht="14.25" customHeight="1">
      <c r="A41" s="6" t="s">
        <v>107</v>
      </c>
      <c r="B41" s="7">
        <v>0</v>
      </c>
      <c r="C41" s="130"/>
      <c r="D41" s="131" t="s">
        <v>268</v>
      </c>
    </row>
    <row r="42" spans="1:4" ht="14.25" customHeight="1">
      <c r="A42" s="6" t="s">
        <v>108</v>
      </c>
      <c r="B42" s="7">
        <v>2969</v>
      </c>
      <c r="C42" s="130">
        <f>B42</f>
        <v>2969</v>
      </c>
      <c r="D42" s="131"/>
    </row>
    <row r="43" spans="1:4" ht="14.25" customHeight="1">
      <c r="A43" s="6" t="s">
        <v>109</v>
      </c>
      <c r="B43" s="137">
        <f t="shared" ref="B43:C43" si="2">SUM(B28:B42)</f>
        <v>6661.04</v>
      </c>
      <c r="C43" s="137">
        <f t="shared" si="2"/>
        <v>6836.04</v>
      </c>
      <c r="D43" s="138"/>
    </row>
    <row r="44" spans="1:4" ht="14.25" customHeight="1">
      <c r="A44" s="6" t="s">
        <v>110</v>
      </c>
      <c r="B44" s="137">
        <f t="shared" ref="B44:C44" si="3">B43+B27</f>
        <v>6661.04</v>
      </c>
      <c r="C44" s="137">
        <f t="shared" si="3"/>
        <v>6836.04</v>
      </c>
      <c r="D44" s="138"/>
    </row>
    <row r="45" spans="1:4" ht="14.25" customHeight="1">
      <c r="A45" s="6"/>
      <c r="B45" s="137"/>
      <c r="C45" s="137"/>
      <c r="D45" s="138"/>
    </row>
    <row r="46" spans="1:4" ht="14.25" customHeight="1">
      <c r="A46" s="6" t="s">
        <v>270</v>
      </c>
      <c r="B46" s="7"/>
      <c r="C46" s="130"/>
      <c r="D46" s="131"/>
    </row>
    <row r="47" spans="1:4" ht="14.25" customHeight="1">
      <c r="A47" s="6" t="s">
        <v>271</v>
      </c>
      <c r="B47" s="7">
        <v>0</v>
      </c>
      <c r="C47" s="130"/>
    </row>
    <row r="48" spans="1:4" ht="14.25" customHeight="1">
      <c r="A48" s="6" t="s">
        <v>272</v>
      </c>
      <c r="B48" s="147">
        <v>750</v>
      </c>
      <c r="C48" s="130">
        <f>B48</f>
        <v>750</v>
      </c>
      <c r="D48" s="131"/>
    </row>
    <row r="49" spans="1:4" ht="14.25" customHeight="1">
      <c r="A49" s="6" t="s">
        <v>116</v>
      </c>
      <c r="B49" s="137">
        <f>(B47)+(B48)+B46</f>
        <v>750</v>
      </c>
      <c r="C49" s="137">
        <f>(C47)+(C48)</f>
        <v>750</v>
      </c>
      <c r="D49" s="138"/>
    </row>
    <row r="50" spans="1:4" ht="14.25" customHeight="1">
      <c r="A50" s="6" t="s">
        <v>273</v>
      </c>
      <c r="B50" s="7">
        <v>0</v>
      </c>
      <c r="C50" s="130"/>
      <c r="D50" s="131"/>
    </row>
    <row r="51" spans="1:4" ht="14.25" customHeight="1">
      <c r="A51" s="6" t="s">
        <v>274</v>
      </c>
      <c r="B51" s="7">
        <v>3523.52</v>
      </c>
      <c r="C51" s="130">
        <f t="shared" ref="C51:C52" si="4">B51</f>
        <v>3523.52</v>
      </c>
      <c r="D51" s="131" t="s">
        <v>275</v>
      </c>
    </row>
    <row r="52" spans="1:4" ht="14.25" customHeight="1">
      <c r="A52" s="6" t="s">
        <v>276</v>
      </c>
      <c r="B52" s="147">
        <v>1175.9000000000001</v>
      </c>
      <c r="C52" s="130">
        <f t="shared" si="4"/>
        <v>1175.9000000000001</v>
      </c>
      <c r="D52" s="131"/>
    </row>
    <row r="53" spans="1:4" ht="14.25" customHeight="1">
      <c r="A53" s="6" t="s">
        <v>277</v>
      </c>
      <c r="B53" s="137">
        <f t="shared" ref="B53:C53" si="5">(B51)+(B52)</f>
        <v>4699.42</v>
      </c>
      <c r="C53" s="137">
        <f t="shared" si="5"/>
        <v>4699.42</v>
      </c>
      <c r="D53" s="138"/>
    </row>
    <row r="54" spans="1:4" ht="14.25" customHeight="1">
      <c r="A54" s="6" t="s">
        <v>278</v>
      </c>
      <c r="B54" s="137">
        <f t="shared" ref="B54:C54" si="6">B49-B53</f>
        <v>-3949.42</v>
      </c>
      <c r="C54" s="137">
        <f t="shared" si="6"/>
        <v>-3949.42</v>
      </c>
      <c r="D54" s="138"/>
    </row>
    <row r="55" spans="1:4" ht="14.25" customHeight="1">
      <c r="A55" s="6" t="s">
        <v>279</v>
      </c>
      <c r="B55" s="137">
        <f t="shared" ref="B55:C55" si="7">B18-B44+B54</f>
        <v>-5827.91</v>
      </c>
      <c r="C55" s="137">
        <f t="shared" si="7"/>
        <v>-202.91000000000076</v>
      </c>
      <c r="D55" s="138"/>
    </row>
    <row r="56" spans="1:4" ht="14.25" customHeight="1">
      <c r="A56" s="6"/>
      <c r="B56" s="7"/>
      <c r="C56" s="130"/>
      <c r="D56" s="131"/>
    </row>
    <row r="57" spans="1:4" ht="14.25" customHeight="1">
      <c r="A57" s="24" t="s">
        <v>280</v>
      </c>
      <c r="B57" s="15"/>
      <c r="C57" s="148">
        <f>C36</f>
        <v>175</v>
      </c>
      <c r="D57" s="149" t="s">
        <v>383</v>
      </c>
    </row>
    <row r="58" spans="1:4" ht="14.25" customHeight="1">
      <c r="A58" s="24" t="s">
        <v>343</v>
      </c>
      <c r="B58" s="15"/>
      <c r="C58" s="148">
        <f>C55+C57</f>
        <v>-27.910000000000764</v>
      </c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42"/>
      <c r="D61" s="149"/>
    </row>
    <row r="62" spans="1:4" ht="14.25" customHeight="1">
      <c r="B62" s="15"/>
      <c r="C62" s="42"/>
      <c r="D62" s="149"/>
    </row>
    <row r="63" spans="1:4" ht="14.25" customHeight="1">
      <c r="A63" s="6" t="s">
        <v>283</v>
      </c>
      <c r="B63" s="15"/>
      <c r="C63" s="42"/>
      <c r="D63" s="149"/>
    </row>
    <row r="64" spans="1:4" ht="14.25" customHeight="1">
      <c r="A64" s="6" t="s">
        <v>229</v>
      </c>
      <c r="B64" s="17"/>
      <c r="C64" s="148">
        <v>2969</v>
      </c>
      <c r="D64" s="149"/>
    </row>
    <row r="65" spans="1:4" ht="14.25" customHeight="1">
      <c r="A65" s="6" t="s">
        <v>284</v>
      </c>
      <c r="B65" s="17"/>
      <c r="C65" s="148">
        <v>2374</v>
      </c>
      <c r="D65" s="149"/>
    </row>
    <row r="66" spans="1:4" ht="14.25" customHeight="1">
      <c r="B66" s="15"/>
      <c r="C66" s="42"/>
      <c r="D66" s="149"/>
    </row>
    <row r="67" spans="1:4" ht="14.25" customHeight="1">
      <c r="D67" s="109"/>
    </row>
    <row r="68" spans="1:4" ht="14.25" customHeight="1">
      <c r="D68" s="109"/>
    </row>
    <row r="69" spans="1:4" ht="14.25" customHeight="1">
      <c r="D69" s="109"/>
    </row>
    <row r="70" spans="1:4" ht="14.25" customHeight="1">
      <c r="D70" s="109"/>
    </row>
    <row r="71" spans="1:4" ht="14.25" customHeight="1">
      <c r="D71" s="109"/>
    </row>
    <row r="72" spans="1:4" ht="14.25" customHeight="1">
      <c r="D72" s="109"/>
    </row>
    <row r="73" spans="1:4" ht="14.25" customHeight="1">
      <c r="D73" s="109"/>
    </row>
    <row r="74" spans="1:4" ht="14.25" customHeight="1">
      <c r="D74" s="109"/>
    </row>
    <row r="75" spans="1:4" ht="14.25" customHeight="1">
      <c r="D75" s="109"/>
    </row>
    <row r="76" spans="1:4" ht="14.25" customHeight="1">
      <c r="D76" s="109"/>
    </row>
    <row r="77" spans="1:4" ht="14.25" customHeight="1">
      <c r="D77" s="109"/>
    </row>
    <row r="78" spans="1:4" ht="14.25" customHeight="1">
      <c r="D78" s="109"/>
    </row>
    <row r="79" spans="1:4" ht="14.25" customHeight="1">
      <c r="D79" s="109"/>
    </row>
    <row r="80" spans="1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>
      <c r="D967" s="109"/>
    </row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  <row r="978" ht="14.25" customHeight="1"/>
  </sheetData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97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2" width="12" customWidth="1"/>
    <col min="3" max="3" width="16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384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v>345.44</v>
      </c>
      <c r="C2" s="15"/>
      <c r="D2" s="115" t="s">
        <v>385</v>
      </c>
      <c r="E2" s="116" t="s">
        <v>229</v>
      </c>
      <c r="F2" s="117">
        <v>12</v>
      </c>
      <c r="G2" s="118" t="s">
        <v>230</v>
      </c>
    </row>
    <row r="3" spans="1:7" ht="14.25" customHeight="1">
      <c r="B3" s="108"/>
      <c r="C3" s="15"/>
      <c r="D3" s="115" t="s">
        <v>386</v>
      </c>
      <c r="E3" s="116" t="s">
        <v>347</v>
      </c>
      <c r="F3" s="120">
        <v>0</v>
      </c>
      <c r="G3" s="118" t="s">
        <v>230</v>
      </c>
    </row>
    <row r="4" spans="1:7" ht="14.25" customHeight="1">
      <c r="B4" s="108"/>
      <c r="C4" s="15"/>
      <c r="D4" s="160" t="s">
        <v>288</v>
      </c>
      <c r="E4" s="116" t="s">
        <v>233</v>
      </c>
      <c r="F4" s="117">
        <f>F2+F3</f>
        <v>12</v>
      </c>
      <c r="G4" s="118"/>
    </row>
    <row r="5" spans="1:7" ht="14.25" customHeight="1">
      <c r="B5" s="108"/>
      <c r="C5" s="15"/>
      <c r="D5" s="119"/>
      <c r="E5" s="116"/>
      <c r="G5" s="118"/>
    </row>
    <row r="6" spans="1:7" ht="14.25" customHeight="1">
      <c r="B6" s="121"/>
      <c r="C6" s="122"/>
      <c r="D6" s="178"/>
      <c r="E6" s="124" t="s">
        <v>234</v>
      </c>
      <c r="F6" s="125">
        <v>4</v>
      </c>
      <c r="G6" s="126" t="s">
        <v>235</v>
      </c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/>
      <c r="C9" s="132"/>
      <c r="D9" s="131" t="s">
        <v>387</v>
      </c>
    </row>
    <row r="10" spans="1:7" ht="14.25" customHeight="1">
      <c r="A10" s="6" t="s">
        <v>239</v>
      </c>
      <c r="B10" s="7">
        <v>0</v>
      </c>
      <c r="C10" s="130"/>
      <c r="D10" s="131"/>
    </row>
    <row r="11" spans="1:7" ht="14.25" customHeight="1">
      <c r="A11" s="6" t="s">
        <v>241</v>
      </c>
      <c r="B11" s="7">
        <v>0</v>
      </c>
      <c r="C11" s="130"/>
      <c r="D11" s="131" t="s">
        <v>242</v>
      </c>
    </row>
    <row r="12" spans="1:7" ht="14.25" customHeight="1">
      <c r="A12" s="6" t="s">
        <v>243</v>
      </c>
      <c r="B12" s="7">
        <v>0</v>
      </c>
      <c r="C12" s="130"/>
      <c r="D12" s="131"/>
    </row>
    <row r="13" spans="1:7" ht="14.25" customHeight="1">
      <c r="A13" s="6" t="s">
        <v>37</v>
      </c>
      <c r="B13" s="7">
        <v>0</v>
      </c>
      <c r="C13" s="132"/>
      <c r="D13" s="131"/>
    </row>
    <row r="14" spans="1:7" ht="14.25" customHeight="1">
      <c r="A14" s="6" t="s">
        <v>308</v>
      </c>
      <c r="B14" s="7">
        <v>0</v>
      </c>
      <c r="C14" s="132"/>
      <c r="D14" s="131"/>
    </row>
    <row r="15" spans="1:7" ht="14.25" customHeight="1">
      <c r="A15" s="6" t="s">
        <v>246</v>
      </c>
      <c r="B15" s="7">
        <v>0</v>
      </c>
      <c r="C15" s="132"/>
      <c r="D15" s="131"/>
    </row>
    <row r="16" spans="1:7" ht="14.25" customHeight="1">
      <c r="A16" s="6" t="s">
        <v>248</v>
      </c>
      <c r="B16" s="134">
        <v>0</v>
      </c>
      <c r="C16" s="180">
        <v>2000</v>
      </c>
      <c r="D16" s="181" t="s">
        <v>338</v>
      </c>
    </row>
    <row r="17" spans="1:27" ht="14.25" customHeight="1">
      <c r="A17" s="6" t="s">
        <v>41</v>
      </c>
      <c r="B17" s="137">
        <f t="shared" ref="B17:C17" si="0">SUM(B9:B16)</f>
        <v>0</v>
      </c>
      <c r="C17" s="137">
        <f t="shared" si="0"/>
        <v>2000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/>
      <c r="D21" s="131"/>
    </row>
    <row r="22" spans="1:27" ht="14.25" customHeight="1">
      <c r="A22" s="6" t="s">
        <v>250</v>
      </c>
      <c r="B22" s="7">
        <v>0</v>
      </c>
      <c r="C22" s="130"/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/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1">SUM(B21:B25)</f>
        <v>0</v>
      </c>
      <c r="C26" s="137">
        <f t="shared" si="1"/>
        <v>0</v>
      </c>
      <c r="D26" s="138"/>
    </row>
    <row r="27" spans="1:27" ht="14.25" customHeight="1">
      <c r="A27" s="6" t="s">
        <v>81</v>
      </c>
      <c r="B27" s="7"/>
      <c r="C27" s="130"/>
      <c r="D27" s="131"/>
    </row>
    <row r="28" spans="1:27" ht="14.25" customHeight="1">
      <c r="A28" s="6" t="s">
        <v>86</v>
      </c>
      <c r="B28" s="8">
        <v>579.34</v>
      </c>
      <c r="C28" s="139">
        <f>B28</f>
        <v>579.34</v>
      </c>
      <c r="D28" s="131"/>
    </row>
    <row r="29" spans="1:27" ht="14.25" customHeight="1">
      <c r="A29" s="6" t="s">
        <v>87</v>
      </c>
      <c r="B29" s="7">
        <v>0</v>
      </c>
      <c r="C29" s="130"/>
      <c r="D29" s="131"/>
    </row>
    <row r="30" spans="1:27" ht="14.25" customHeight="1">
      <c r="A30" s="167" t="s">
        <v>255</v>
      </c>
      <c r="B30" s="168">
        <v>0</v>
      </c>
      <c r="C30" s="34"/>
      <c r="D30" s="141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0</v>
      </c>
      <c r="C31" s="130"/>
      <c r="D31" s="131"/>
    </row>
    <row r="32" spans="1:27" ht="14.25" customHeight="1">
      <c r="A32" s="6" t="s">
        <v>294</v>
      </c>
      <c r="B32" s="8">
        <v>0</v>
      </c>
      <c r="C32" s="139"/>
      <c r="D32" s="131"/>
    </row>
    <row r="33" spans="1:4" ht="14.25" customHeight="1">
      <c r="A33" s="6" t="s">
        <v>92</v>
      </c>
      <c r="B33" s="7">
        <v>1000</v>
      </c>
      <c r="C33" s="130">
        <f>B33</f>
        <v>1000</v>
      </c>
      <c r="D33" s="131"/>
    </row>
    <row r="34" spans="1:4" ht="14.25" customHeight="1">
      <c r="A34" s="6" t="s">
        <v>259</v>
      </c>
      <c r="B34" s="7">
        <v>0</v>
      </c>
      <c r="C34" s="130"/>
      <c r="D34" s="131" t="s">
        <v>260</v>
      </c>
    </row>
    <row r="35" spans="1:4" ht="14.25" customHeight="1">
      <c r="A35" s="6" t="s">
        <v>261</v>
      </c>
      <c r="B35" s="7"/>
      <c r="C35" s="130">
        <f>35*F6</f>
        <v>140</v>
      </c>
      <c r="D35" s="131" t="s">
        <v>262</v>
      </c>
    </row>
    <row r="36" spans="1:4" ht="14.25" customHeight="1">
      <c r="A36" s="6" t="s">
        <v>263</v>
      </c>
      <c r="B36" s="7">
        <v>2345.54</v>
      </c>
      <c r="C36" s="130"/>
      <c r="D36" s="131" t="s">
        <v>388</v>
      </c>
    </row>
    <row r="37" spans="1:4" ht="14.25" customHeight="1">
      <c r="A37" s="6" t="s">
        <v>265</v>
      </c>
      <c r="B37" s="7">
        <v>126.5</v>
      </c>
      <c r="C37" s="130">
        <f>B37</f>
        <v>126.5</v>
      </c>
      <c r="D37" s="131"/>
    </row>
    <row r="38" spans="1:4" ht="14.25" customHeight="1">
      <c r="A38" s="6" t="s">
        <v>104</v>
      </c>
      <c r="B38" s="7">
        <v>0</v>
      </c>
      <c r="C38" s="130"/>
      <c r="D38" s="131"/>
    </row>
    <row r="39" spans="1:4" ht="14.25" customHeight="1">
      <c r="A39" s="6" t="s">
        <v>105</v>
      </c>
      <c r="B39" s="7">
        <v>0</v>
      </c>
      <c r="C39" s="130"/>
      <c r="D39" s="131"/>
    </row>
    <row r="40" spans="1:4" ht="14.25" customHeight="1">
      <c r="A40" s="6" t="s">
        <v>107</v>
      </c>
      <c r="B40" s="7">
        <v>0</v>
      </c>
      <c r="C40" s="130"/>
      <c r="D40" s="131" t="s">
        <v>268</v>
      </c>
    </row>
    <row r="41" spans="1:4" ht="14.25" customHeight="1">
      <c r="A41" s="6" t="s">
        <v>108</v>
      </c>
      <c r="B41" s="7">
        <v>150</v>
      </c>
      <c r="C41" s="130">
        <f>B41</f>
        <v>150</v>
      </c>
      <c r="D41" s="131"/>
    </row>
    <row r="42" spans="1:4" ht="14.25" customHeight="1">
      <c r="A42" s="6" t="s">
        <v>109</v>
      </c>
      <c r="B42" s="137">
        <f t="shared" ref="B42:C42" si="2">SUM(B27:B41)</f>
        <v>4201.38</v>
      </c>
      <c r="C42" s="137">
        <f t="shared" si="2"/>
        <v>1995.8400000000001</v>
      </c>
      <c r="D42" s="138"/>
    </row>
    <row r="43" spans="1:4" ht="14.25" customHeight="1">
      <c r="A43" s="6" t="s">
        <v>110</v>
      </c>
      <c r="B43" s="137">
        <f t="shared" ref="B43:C43" si="3">B42+B26</f>
        <v>4201.38</v>
      </c>
      <c r="C43" s="137">
        <f t="shared" si="3"/>
        <v>1995.8400000000001</v>
      </c>
      <c r="D43" s="138"/>
    </row>
    <row r="44" spans="1:4" ht="14.25" customHeight="1">
      <c r="A44" s="6"/>
      <c r="B44" s="137"/>
      <c r="C44" s="137"/>
      <c r="D44" s="138"/>
    </row>
    <row r="45" spans="1:4" ht="14.25" customHeight="1">
      <c r="A45" s="6" t="s">
        <v>270</v>
      </c>
      <c r="B45" s="7"/>
      <c r="C45" s="130"/>
      <c r="D45" s="131"/>
    </row>
    <row r="46" spans="1:4" ht="14.25" customHeight="1">
      <c r="A46" s="6" t="s">
        <v>271</v>
      </c>
      <c r="B46" s="7">
        <v>301.25</v>
      </c>
      <c r="C46" s="130">
        <f>B46</f>
        <v>301.25</v>
      </c>
    </row>
    <row r="47" spans="1:4" ht="14.25" customHeight="1">
      <c r="A47" s="6" t="s">
        <v>272</v>
      </c>
      <c r="B47" s="147">
        <v>0</v>
      </c>
      <c r="C47" s="130"/>
      <c r="D47" s="131"/>
    </row>
    <row r="48" spans="1:4" ht="14.25" customHeight="1">
      <c r="A48" s="6" t="s">
        <v>116</v>
      </c>
      <c r="B48" s="137">
        <f>(B46)+(B47)+B45</f>
        <v>301.25</v>
      </c>
      <c r="C48" s="137">
        <f>(C46)+(C47)</f>
        <v>301.25</v>
      </c>
      <c r="D48" s="138"/>
    </row>
    <row r="49" spans="1:4" ht="14.25" customHeight="1">
      <c r="A49" s="6" t="s">
        <v>273</v>
      </c>
      <c r="B49" s="7"/>
      <c r="C49" s="130"/>
      <c r="D49" s="131"/>
    </row>
    <row r="50" spans="1:4" ht="14.25" customHeight="1">
      <c r="A50" s="6" t="s">
        <v>274</v>
      </c>
      <c r="B50" s="7">
        <v>662.55</v>
      </c>
      <c r="C50" s="130">
        <f>B50</f>
        <v>662.55</v>
      </c>
      <c r="D50" s="131" t="s">
        <v>275</v>
      </c>
    </row>
    <row r="51" spans="1:4" ht="14.25" customHeight="1">
      <c r="A51" s="6" t="s">
        <v>276</v>
      </c>
      <c r="B51" s="147">
        <v>0</v>
      </c>
      <c r="C51" s="130"/>
      <c r="D51" s="131"/>
    </row>
    <row r="52" spans="1:4" ht="14.25" customHeight="1">
      <c r="A52" s="6" t="s">
        <v>277</v>
      </c>
      <c r="B52" s="137">
        <f t="shared" ref="B52:C52" si="4">(B50)+(B51)</f>
        <v>662.55</v>
      </c>
      <c r="C52" s="137">
        <f t="shared" si="4"/>
        <v>662.55</v>
      </c>
      <c r="D52" s="138"/>
    </row>
    <row r="53" spans="1:4" ht="14.25" customHeight="1">
      <c r="A53" s="6" t="s">
        <v>278</v>
      </c>
      <c r="B53" s="137">
        <f t="shared" ref="B53:C53" si="5">B48-B52</f>
        <v>-361.29999999999995</v>
      </c>
      <c r="C53" s="137">
        <f t="shared" si="5"/>
        <v>-361.29999999999995</v>
      </c>
      <c r="D53" s="138"/>
    </row>
    <row r="54" spans="1:4" ht="14.25" customHeight="1">
      <c r="A54" s="6" t="s">
        <v>279</v>
      </c>
      <c r="B54" s="137">
        <f t="shared" ref="B54:C54" si="6">B17-B43+B53</f>
        <v>-4562.68</v>
      </c>
      <c r="C54" s="137">
        <f t="shared" si="6"/>
        <v>-357.1400000000001</v>
      </c>
      <c r="D54" s="138"/>
    </row>
    <row r="55" spans="1:4" ht="14.25" customHeight="1">
      <c r="A55" s="6"/>
      <c r="B55" s="7"/>
      <c r="C55" s="130"/>
      <c r="D55" s="131"/>
    </row>
    <row r="56" spans="1:4" ht="14.25" customHeight="1">
      <c r="A56" s="24" t="s">
        <v>280</v>
      </c>
      <c r="B56" s="15"/>
      <c r="C56" s="148">
        <f>C35</f>
        <v>140</v>
      </c>
      <c r="D56" s="149" t="s">
        <v>383</v>
      </c>
    </row>
    <row r="57" spans="1:4" ht="14.25" customHeight="1">
      <c r="A57" s="24" t="s">
        <v>343</v>
      </c>
      <c r="B57" s="15"/>
      <c r="C57" s="148">
        <f>C54+C56</f>
        <v>-217.1400000000001</v>
      </c>
      <c r="D57" s="149"/>
    </row>
    <row r="58" spans="1:4" ht="14.25" customHeight="1">
      <c r="B58" s="15"/>
      <c r="C58" s="42"/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122"/>
      <c r="D61" s="149"/>
    </row>
    <row r="62" spans="1:4" ht="14.25" customHeight="1">
      <c r="A62" s="150" t="s">
        <v>283</v>
      </c>
      <c r="B62" s="151"/>
      <c r="C62" s="152"/>
      <c r="D62" s="153"/>
    </row>
    <row r="63" spans="1:4" ht="14.25" customHeight="1">
      <c r="A63" s="154" t="s">
        <v>229</v>
      </c>
      <c r="B63" s="17"/>
      <c r="C63" s="155">
        <v>2969</v>
      </c>
      <c r="D63" s="153"/>
    </row>
    <row r="64" spans="1:4" ht="14.25" customHeight="1">
      <c r="A64" s="156" t="s">
        <v>284</v>
      </c>
      <c r="B64" s="157"/>
      <c r="C64" s="158">
        <v>2374</v>
      </c>
      <c r="D64" s="153"/>
    </row>
    <row r="65" spans="2:4" ht="14.25" customHeight="1">
      <c r="B65" s="15"/>
      <c r="C65" s="40"/>
      <c r="D65" s="149"/>
    </row>
    <row r="66" spans="2:4" ht="14.25" customHeight="1">
      <c r="D66" s="109"/>
    </row>
    <row r="67" spans="2:4" ht="14.25" customHeight="1">
      <c r="D67" s="109"/>
    </row>
    <row r="68" spans="2:4" ht="14.25" customHeight="1">
      <c r="D68" s="109"/>
    </row>
    <row r="69" spans="2:4" ht="14.25" customHeight="1">
      <c r="D69" s="109"/>
    </row>
    <row r="70" spans="2:4" ht="14.25" customHeight="1">
      <c r="D70" s="109"/>
    </row>
    <row r="71" spans="2:4" ht="14.25" customHeight="1">
      <c r="D71" s="109"/>
    </row>
    <row r="72" spans="2:4" ht="14.25" customHeight="1">
      <c r="D72" s="109"/>
    </row>
    <row r="73" spans="2:4" ht="14.25" customHeight="1">
      <c r="D73" s="109"/>
    </row>
    <row r="74" spans="2:4" ht="14.25" customHeight="1">
      <c r="D74" s="109"/>
    </row>
    <row r="75" spans="2:4" ht="14.25" customHeight="1">
      <c r="D75" s="109"/>
    </row>
    <row r="76" spans="2:4" ht="14.25" customHeight="1">
      <c r="D76" s="109"/>
    </row>
    <row r="77" spans="2:4" ht="14.25" customHeight="1">
      <c r="D77" s="109"/>
    </row>
    <row r="78" spans="2:4" ht="14.25" customHeight="1">
      <c r="D78" s="109"/>
    </row>
    <row r="79" spans="2:4" ht="14.25" customHeight="1">
      <c r="D79" s="109"/>
    </row>
    <row r="80" spans="2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/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</sheetData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97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2" width="12" customWidth="1"/>
    <col min="3" max="3" width="16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389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v>1901.27</v>
      </c>
      <c r="C2" s="15"/>
      <c r="D2" s="115" t="s">
        <v>390</v>
      </c>
      <c r="E2" s="116" t="s">
        <v>229</v>
      </c>
      <c r="F2" s="117">
        <v>22</v>
      </c>
      <c r="G2" s="118" t="s">
        <v>230</v>
      </c>
    </row>
    <row r="3" spans="1:7" ht="14.25" customHeight="1">
      <c r="B3" s="108"/>
      <c r="C3" s="15"/>
      <c r="D3" s="115"/>
      <c r="E3" s="116" t="s">
        <v>347</v>
      </c>
      <c r="F3" s="120">
        <v>23</v>
      </c>
      <c r="G3" s="118" t="s">
        <v>230</v>
      </c>
    </row>
    <row r="4" spans="1:7" ht="14.25" customHeight="1">
      <c r="B4" s="108"/>
      <c r="C4" s="15"/>
      <c r="D4" s="160" t="s">
        <v>288</v>
      </c>
      <c r="E4" s="116" t="s">
        <v>233</v>
      </c>
      <c r="F4" s="117">
        <f>F2+F3</f>
        <v>45</v>
      </c>
      <c r="G4" s="118"/>
    </row>
    <row r="5" spans="1:7" ht="14.25" customHeight="1">
      <c r="B5" s="108"/>
      <c r="C5" s="15"/>
      <c r="D5" s="119"/>
      <c r="E5" s="116"/>
      <c r="G5" s="118"/>
    </row>
    <row r="6" spans="1:7" ht="14.25" customHeight="1">
      <c r="B6" s="121"/>
      <c r="C6" s="122"/>
      <c r="D6" s="178"/>
      <c r="E6" s="124" t="s">
        <v>234</v>
      </c>
      <c r="F6" s="125">
        <f>11</f>
        <v>11</v>
      </c>
      <c r="G6" s="126" t="s">
        <v>235</v>
      </c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>
        <v>1649.15</v>
      </c>
      <c r="C9" s="132">
        <v>1500</v>
      </c>
      <c r="D9" s="131" t="s">
        <v>391</v>
      </c>
    </row>
    <row r="10" spans="1:7" ht="14.25" customHeight="1">
      <c r="A10" s="6" t="s">
        <v>239</v>
      </c>
      <c r="B10" s="7"/>
      <c r="C10" s="130"/>
      <c r="D10" s="131"/>
    </row>
    <row r="11" spans="1:7" ht="14.25" customHeight="1">
      <c r="A11" s="6" t="s">
        <v>241</v>
      </c>
      <c r="B11" s="7"/>
      <c r="C11" s="130"/>
      <c r="D11" s="131" t="s">
        <v>242</v>
      </c>
    </row>
    <row r="12" spans="1:7" ht="14.25" customHeight="1">
      <c r="A12" s="6" t="s">
        <v>243</v>
      </c>
      <c r="B12" s="7"/>
      <c r="C12" s="130"/>
      <c r="D12" s="131"/>
    </row>
    <row r="13" spans="1:7" ht="14.25" customHeight="1">
      <c r="A13" s="6" t="s">
        <v>37</v>
      </c>
      <c r="B13" s="7"/>
      <c r="C13" s="132"/>
      <c r="D13" s="131"/>
    </row>
    <row r="14" spans="1:7" ht="14.25" customHeight="1">
      <c r="A14" s="6" t="s">
        <v>308</v>
      </c>
      <c r="B14" s="7"/>
      <c r="C14" s="132"/>
      <c r="D14" s="131"/>
    </row>
    <row r="15" spans="1:7" ht="14.25" customHeight="1">
      <c r="A15" s="6" t="s">
        <v>246</v>
      </c>
      <c r="B15" s="7"/>
      <c r="C15" s="132"/>
      <c r="D15" s="131"/>
    </row>
    <row r="16" spans="1:7" ht="14.25" customHeight="1">
      <c r="A16" s="6" t="s">
        <v>248</v>
      </c>
      <c r="B16" s="134">
        <v>2454.23</v>
      </c>
      <c r="C16" s="135">
        <v>1000</v>
      </c>
      <c r="D16" s="181" t="s">
        <v>392</v>
      </c>
    </row>
    <row r="17" spans="1:27" ht="14.25" customHeight="1">
      <c r="A17" s="6" t="s">
        <v>41</v>
      </c>
      <c r="B17" s="137">
        <f>SUM(B9:B16)</f>
        <v>4103.38</v>
      </c>
      <c r="C17" s="137">
        <f>SUM(C9:C15)</f>
        <v>1500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/>
      <c r="D21" s="131"/>
    </row>
    <row r="22" spans="1:27" ht="14.25" customHeight="1">
      <c r="A22" s="6" t="s">
        <v>250</v>
      </c>
      <c r="B22" s="7">
        <v>0</v>
      </c>
      <c r="C22" s="130"/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/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0">SUM(B21:B25)</f>
        <v>0</v>
      </c>
      <c r="C26" s="137">
        <f t="shared" si="0"/>
        <v>0</v>
      </c>
      <c r="D26" s="138"/>
    </row>
    <row r="27" spans="1:27" ht="14.25" customHeight="1">
      <c r="A27" s="6" t="s">
        <v>81</v>
      </c>
      <c r="B27" s="7"/>
      <c r="C27" s="130"/>
      <c r="D27" s="131"/>
    </row>
    <row r="28" spans="1:27" ht="14.25" customHeight="1">
      <c r="A28" s="6" t="s">
        <v>86</v>
      </c>
      <c r="B28" s="8">
        <v>1043.53</v>
      </c>
      <c r="C28" s="139">
        <v>1000</v>
      </c>
      <c r="D28" s="131"/>
    </row>
    <row r="29" spans="1:27" ht="14.25" customHeight="1">
      <c r="A29" s="6" t="s">
        <v>87</v>
      </c>
      <c r="B29" s="7">
        <v>0</v>
      </c>
      <c r="C29" s="130"/>
      <c r="D29" s="131"/>
    </row>
    <row r="30" spans="1:27" ht="14.25" customHeight="1">
      <c r="A30" s="167" t="s">
        <v>255</v>
      </c>
      <c r="B30" s="168">
        <v>0</v>
      </c>
      <c r="C30" s="34"/>
      <c r="D30" s="141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0</v>
      </c>
      <c r="C31" s="130"/>
      <c r="D31" s="131"/>
    </row>
    <row r="32" spans="1:27" ht="14.25" customHeight="1">
      <c r="A32" s="6" t="s">
        <v>294</v>
      </c>
      <c r="B32" s="8">
        <v>0</v>
      </c>
      <c r="C32" s="139"/>
      <c r="D32" s="131"/>
    </row>
    <row r="33" spans="1:4" ht="14.25" customHeight="1">
      <c r="A33" s="6" t="s">
        <v>92</v>
      </c>
      <c r="B33" s="7">
        <v>423.63</v>
      </c>
      <c r="C33" s="130">
        <v>500</v>
      </c>
      <c r="D33" s="131"/>
    </row>
    <row r="34" spans="1:4" ht="14.25" customHeight="1">
      <c r="A34" s="6" t="s">
        <v>259</v>
      </c>
      <c r="B34" s="7">
        <v>0</v>
      </c>
      <c r="C34" s="130"/>
      <c r="D34" s="131" t="s">
        <v>260</v>
      </c>
    </row>
    <row r="35" spans="1:4" ht="14.25" customHeight="1">
      <c r="A35" s="6" t="s">
        <v>261</v>
      </c>
      <c r="B35" s="7"/>
      <c r="C35" s="130">
        <f>35*F6</f>
        <v>385</v>
      </c>
      <c r="D35" s="131" t="s">
        <v>262</v>
      </c>
    </row>
    <row r="36" spans="1:4" ht="14.25" customHeight="1">
      <c r="A36" s="6" t="s">
        <v>263</v>
      </c>
      <c r="B36" s="7">
        <v>0</v>
      </c>
      <c r="C36" s="130">
        <f>C63+C64</f>
        <v>5343</v>
      </c>
      <c r="D36" s="198" t="s">
        <v>393</v>
      </c>
    </row>
    <row r="37" spans="1:4" ht="14.25" customHeight="1">
      <c r="A37" s="6" t="s">
        <v>265</v>
      </c>
      <c r="B37" s="7">
        <v>0</v>
      </c>
      <c r="C37" s="130"/>
      <c r="D37" s="131"/>
    </row>
    <row r="38" spans="1:4" ht="14.25" customHeight="1">
      <c r="A38" s="6" t="s">
        <v>104</v>
      </c>
      <c r="B38" s="7">
        <v>0</v>
      </c>
      <c r="C38" s="130"/>
      <c r="D38" s="131"/>
    </row>
    <row r="39" spans="1:4" ht="14.25" customHeight="1">
      <c r="A39" s="6" t="s">
        <v>105</v>
      </c>
      <c r="B39" s="7">
        <v>0</v>
      </c>
      <c r="C39" s="130"/>
      <c r="D39" s="131"/>
    </row>
    <row r="40" spans="1:4" ht="14.25" customHeight="1">
      <c r="A40" s="6" t="s">
        <v>107</v>
      </c>
      <c r="B40" s="7">
        <v>0</v>
      </c>
      <c r="C40" s="130"/>
      <c r="D40" s="131" t="s">
        <v>268</v>
      </c>
    </row>
    <row r="41" spans="1:4" ht="14.25" customHeight="1">
      <c r="A41" s="6" t="s">
        <v>108</v>
      </c>
      <c r="B41" s="7">
        <v>0</v>
      </c>
      <c r="C41" s="130"/>
      <c r="D41" s="131"/>
    </row>
    <row r="42" spans="1:4" ht="14.25" customHeight="1">
      <c r="A42" s="6" t="s">
        <v>109</v>
      </c>
      <c r="B42" s="137">
        <f t="shared" ref="B42:C42" si="1">SUM(B27:B41)</f>
        <v>1467.1599999999999</v>
      </c>
      <c r="C42" s="137">
        <f t="shared" si="1"/>
        <v>7228</v>
      </c>
      <c r="D42" s="138"/>
    </row>
    <row r="43" spans="1:4" ht="14.25" customHeight="1">
      <c r="A43" s="6" t="s">
        <v>110</v>
      </c>
      <c r="B43" s="137">
        <f t="shared" ref="B43:C43" si="2">B42+B26</f>
        <v>1467.1599999999999</v>
      </c>
      <c r="C43" s="137">
        <f t="shared" si="2"/>
        <v>7228</v>
      </c>
      <c r="D43" s="138"/>
    </row>
    <row r="44" spans="1:4" ht="14.25" customHeight="1">
      <c r="A44" s="6"/>
      <c r="B44" s="137"/>
      <c r="C44" s="137"/>
      <c r="D44" s="138"/>
    </row>
    <row r="45" spans="1:4" ht="14.25" customHeight="1">
      <c r="A45" s="6" t="s">
        <v>270</v>
      </c>
      <c r="B45" s="7"/>
      <c r="C45" s="130"/>
      <c r="D45" s="131"/>
    </row>
    <row r="46" spans="1:4" ht="14.25" customHeight="1">
      <c r="A46" s="6" t="s">
        <v>271</v>
      </c>
      <c r="B46" s="7">
        <v>0</v>
      </c>
      <c r="C46" s="130"/>
    </row>
    <row r="47" spans="1:4" ht="14.25" customHeight="1">
      <c r="A47" s="6" t="s">
        <v>272</v>
      </c>
      <c r="B47" s="147">
        <v>0</v>
      </c>
      <c r="C47" s="130"/>
      <c r="D47" s="131"/>
    </row>
    <row r="48" spans="1:4" ht="14.25" customHeight="1">
      <c r="A48" s="6" t="s">
        <v>116</v>
      </c>
      <c r="B48" s="137">
        <f>(B46)+(B47)+B45</f>
        <v>0</v>
      </c>
      <c r="C48" s="137">
        <f>(C46)+(C47)</f>
        <v>0</v>
      </c>
      <c r="D48" s="138"/>
    </row>
    <row r="49" spans="1:4" ht="14.25" customHeight="1">
      <c r="A49" s="6" t="s">
        <v>273</v>
      </c>
      <c r="B49" s="7">
        <v>0</v>
      </c>
      <c r="C49" s="130"/>
      <c r="D49" s="131"/>
    </row>
    <row r="50" spans="1:4" ht="14.25" customHeight="1">
      <c r="A50" s="6" t="s">
        <v>274</v>
      </c>
      <c r="B50" s="7">
        <f>810</f>
        <v>810</v>
      </c>
      <c r="C50" s="130"/>
      <c r="D50" s="131" t="s">
        <v>394</v>
      </c>
    </row>
    <row r="51" spans="1:4" ht="14.25" customHeight="1">
      <c r="A51" s="6" t="s">
        <v>276</v>
      </c>
      <c r="B51" s="147">
        <v>0</v>
      </c>
      <c r="C51" s="130"/>
      <c r="D51" s="131"/>
    </row>
    <row r="52" spans="1:4" ht="14.25" customHeight="1">
      <c r="A52" s="6" t="s">
        <v>277</v>
      </c>
      <c r="B52" s="137">
        <f t="shared" ref="B52:C52" si="3">(B50)+(B51)</f>
        <v>810</v>
      </c>
      <c r="C52" s="137">
        <f t="shared" si="3"/>
        <v>0</v>
      </c>
      <c r="D52" s="138"/>
    </row>
    <row r="53" spans="1:4" ht="14.25" customHeight="1">
      <c r="A53" s="6" t="s">
        <v>278</v>
      </c>
      <c r="B53" s="137">
        <f t="shared" ref="B53:C53" si="4">B48-B52</f>
        <v>-810</v>
      </c>
      <c r="C53" s="137">
        <f t="shared" si="4"/>
        <v>0</v>
      </c>
      <c r="D53" s="138"/>
    </row>
    <row r="54" spans="1:4" ht="14.25" customHeight="1">
      <c r="A54" s="6" t="s">
        <v>279</v>
      </c>
      <c r="B54" s="137">
        <f t="shared" ref="B54:C54" si="5">B17-B43+B53</f>
        <v>1826.2200000000003</v>
      </c>
      <c r="C54" s="137">
        <f t="shared" si="5"/>
        <v>-5728</v>
      </c>
      <c r="D54" s="138"/>
    </row>
    <row r="55" spans="1:4" ht="14.25" customHeight="1">
      <c r="A55" s="6"/>
      <c r="B55" s="7"/>
      <c r="C55" s="130"/>
      <c r="D55" s="131"/>
    </row>
    <row r="56" spans="1:4" ht="14.25" customHeight="1">
      <c r="A56" s="24" t="s">
        <v>280</v>
      </c>
      <c r="B56" s="15"/>
      <c r="C56" s="148">
        <f>C36+C35</f>
        <v>5728</v>
      </c>
      <c r="D56" s="149" t="s">
        <v>395</v>
      </c>
    </row>
    <row r="57" spans="1:4" ht="14.25" customHeight="1">
      <c r="A57" s="24" t="s">
        <v>343</v>
      </c>
      <c r="B57" s="15"/>
      <c r="C57" s="148">
        <f>C54+C56</f>
        <v>0</v>
      </c>
      <c r="D57" s="149"/>
    </row>
    <row r="58" spans="1:4" ht="14.25" customHeight="1">
      <c r="B58" s="15"/>
      <c r="C58" s="42"/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122"/>
      <c r="D61" s="149"/>
    </row>
    <row r="62" spans="1:4" ht="14.25" customHeight="1">
      <c r="A62" s="150" t="s">
        <v>283</v>
      </c>
      <c r="B62" s="151"/>
      <c r="C62" s="152"/>
      <c r="D62" s="153"/>
    </row>
    <row r="63" spans="1:4" ht="14.25" customHeight="1">
      <c r="A63" s="154" t="s">
        <v>229</v>
      </c>
      <c r="B63" s="17"/>
      <c r="C63" s="155">
        <v>2969</v>
      </c>
      <c r="D63" s="153"/>
    </row>
    <row r="64" spans="1:4" ht="14.25" customHeight="1">
      <c r="A64" s="156" t="s">
        <v>284</v>
      </c>
      <c r="B64" s="157"/>
      <c r="C64" s="158">
        <v>2374</v>
      </c>
      <c r="D64" s="153"/>
    </row>
    <row r="65" spans="2:4" ht="14.25" customHeight="1">
      <c r="B65" s="15"/>
      <c r="C65" s="40"/>
      <c r="D65" s="149"/>
    </row>
    <row r="66" spans="2:4" ht="14.25" customHeight="1">
      <c r="D66" s="109"/>
    </row>
    <row r="67" spans="2:4" ht="14.25" customHeight="1">
      <c r="D67" s="109"/>
    </row>
    <row r="68" spans="2:4" ht="14.25" customHeight="1">
      <c r="D68" s="109"/>
    </row>
    <row r="69" spans="2:4" ht="14.25" customHeight="1">
      <c r="D69" s="109"/>
    </row>
    <row r="70" spans="2:4" ht="14.25" customHeight="1">
      <c r="D70" s="109"/>
    </row>
    <row r="71" spans="2:4" ht="14.25" customHeight="1">
      <c r="D71" s="109"/>
    </row>
    <row r="72" spans="2:4" ht="14.25" customHeight="1">
      <c r="D72" s="109"/>
    </row>
    <row r="73" spans="2:4" ht="14.25" customHeight="1">
      <c r="D73" s="109"/>
    </row>
    <row r="74" spans="2:4" ht="14.25" customHeight="1">
      <c r="D74" s="109"/>
    </row>
    <row r="75" spans="2:4" ht="14.25" customHeight="1">
      <c r="D75" s="109"/>
    </row>
    <row r="76" spans="2:4" ht="14.25" customHeight="1">
      <c r="D76" s="109"/>
    </row>
    <row r="77" spans="2:4" ht="14.25" customHeight="1">
      <c r="D77" s="109"/>
    </row>
    <row r="78" spans="2:4" ht="14.25" customHeight="1">
      <c r="D78" s="109"/>
    </row>
    <row r="79" spans="2:4" ht="14.25" customHeight="1">
      <c r="D79" s="109"/>
    </row>
    <row r="80" spans="2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/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978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2" width="12" customWidth="1"/>
    <col min="3" max="3" width="16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396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v>9245.31</v>
      </c>
      <c r="C2" s="15"/>
      <c r="D2" s="115" t="s">
        <v>397</v>
      </c>
      <c r="E2" s="116" t="s">
        <v>229</v>
      </c>
      <c r="F2" s="117">
        <v>22</v>
      </c>
      <c r="G2" s="118" t="s">
        <v>230</v>
      </c>
    </row>
    <row r="3" spans="1:7" ht="14.25" customHeight="1">
      <c r="B3" s="108"/>
      <c r="C3" s="15"/>
      <c r="D3" s="115" t="s">
        <v>398</v>
      </c>
      <c r="E3" s="116" t="s">
        <v>347</v>
      </c>
      <c r="F3" s="120">
        <v>23</v>
      </c>
      <c r="G3" s="118" t="s">
        <v>230</v>
      </c>
    </row>
    <row r="4" spans="1:7" ht="14.25" customHeight="1">
      <c r="B4" s="108"/>
      <c r="C4" s="15"/>
      <c r="D4" s="115" t="s">
        <v>399</v>
      </c>
      <c r="E4" s="116" t="s">
        <v>233</v>
      </c>
      <c r="F4" s="117">
        <f>F2+F3</f>
        <v>45</v>
      </c>
      <c r="G4" s="118"/>
    </row>
    <row r="5" spans="1:7" ht="14.25" customHeight="1">
      <c r="B5" s="108"/>
      <c r="C5" s="15"/>
      <c r="D5" s="119" t="s">
        <v>400</v>
      </c>
      <c r="E5" s="116"/>
      <c r="G5" s="118"/>
    </row>
    <row r="6" spans="1:7" ht="14.25" customHeight="1">
      <c r="B6" s="121"/>
      <c r="C6" s="122"/>
      <c r="D6" s="178"/>
      <c r="E6" s="124" t="s">
        <v>234</v>
      </c>
      <c r="F6" s="125">
        <f>11</f>
        <v>11</v>
      </c>
      <c r="G6" s="126" t="s">
        <v>401</v>
      </c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/>
      <c r="C9" s="132"/>
      <c r="D9" s="131" t="s">
        <v>402</v>
      </c>
    </row>
    <row r="10" spans="1:7" ht="14.25" customHeight="1">
      <c r="A10" s="6" t="s">
        <v>239</v>
      </c>
      <c r="B10" s="7"/>
      <c r="C10" s="130"/>
      <c r="D10" s="131"/>
    </row>
    <row r="11" spans="1:7" ht="14.25" customHeight="1">
      <c r="A11" s="6" t="s">
        <v>241</v>
      </c>
      <c r="B11" s="7">
        <v>315</v>
      </c>
      <c r="C11" s="130">
        <f>B11</f>
        <v>315</v>
      </c>
      <c r="D11" s="131" t="s">
        <v>242</v>
      </c>
    </row>
    <row r="12" spans="1:7" ht="14.25" customHeight="1">
      <c r="A12" s="6" t="s">
        <v>243</v>
      </c>
      <c r="B12" s="7"/>
      <c r="C12" s="130"/>
      <c r="D12" s="131"/>
    </row>
    <row r="13" spans="1:7" ht="14.25" customHeight="1">
      <c r="A13" s="6" t="s">
        <v>37</v>
      </c>
      <c r="B13" s="7"/>
      <c r="C13" s="132"/>
      <c r="D13" s="131"/>
    </row>
    <row r="14" spans="1:7" ht="14.25" customHeight="1">
      <c r="A14" s="6" t="s">
        <v>308</v>
      </c>
      <c r="B14" s="7"/>
      <c r="C14" s="132"/>
      <c r="D14" s="131"/>
    </row>
    <row r="15" spans="1:7" ht="14.25" customHeight="1">
      <c r="A15" s="6" t="s">
        <v>246</v>
      </c>
      <c r="B15" s="7">
        <v>3952.5</v>
      </c>
      <c r="C15" s="132">
        <f t="shared" ref="C15:C16" si="0">B15</f>
        <v>3952.5</v>
      </c>
      <c r="D15" s="131"/>
    </row>
    <row r="16" spans="1:7" ht="14.25" customHeight="1">
      <c r="A16" s="6" t="s">
        <v>248</v>
      </c>
      <c r="B16" s="8">
        <v>1016</v>
      </c>
      <c r="C16" s="180">
        <f t="shared" si="0"/>
        <v>1016</v>
      </c>
      <c r="D16" s="181" t="s">
        <v>403</v>
      </c>
    </row>
    <row r="17" spans="1:27" ht="14.25" customHeight="1">
      <c r="A17" s="6" t="s">
        <v>41</v>
      </c>
      <c r="B17" s="137">
        <f t="shared" ref="B17:C17" si="1">SUM(B9:B16)</f>
        <v>5283.5</v>
      </c>
      <c r="C17" s="137">
        <f t="shared" si="1"/>
        <v>5283.5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/>
      <c r="D21" s="131"/>
    </row>
    <row r="22" spans="1:27" ht="14.25" customHeight="1">
      <c r="A22" s="6" t="s">
        <v>250</v>
      </c>
      <c r="B22" s="7">
        <v>0</v>
      </c>
      <c r="C22" s="130"/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/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2">SUM(B21:B25)</f>
        <v>0</v>
      </c>
      <c r="C26" s="137">
        <f t="shared" si="2"/>
        <v>0</v>
      </c>
      <c r="D26" s="138"/>
    </row>
    <row r="27" spans="1:27" ht="14.25" customHeight="1">
      <c r="A27" s="6" t="s">
        <v>81</v>
      </c>
      <c r="B27" s="7"/>
      <c r="C27" s="130"/>
      <c r="D27" s="131"/>
    </row>
    <row r="28" spans="1:27" ht="14.25" customHeight="1">
      <c r="A28" s="6" t="s">
        <v>86</v>
      </c>
      <c r="B28" s="8">
        <v>3309.36</v>
      </c>
      <c r="C28" s="139">
        <f t="shared" ref="C28:C33" si="3">B28</f>
        <v>3309.36</v>
      </c>
      <c r="D28" s="131"/>
    </row>
    <row r="29" spans="1:27" ht="14.25" customHeight="1">
      <c r="A29" s="6" t="s">
        <v>87</v>
      </c>
      <c r="B29" s="7">
        <v>0</v>
      </c>
      <c r="C29" s="139">
        <f t="shared" si="3"/>
        <v>0</v>
      </c>
      <c r="D29" s="131"/>
    </row>
    <row r="30" spans="1:27" ht="14.25" customHeight="1">
      <c r="A30" s="167" t="s">
        <v>255</v>
      </c>
      <c r="B30" s="168">
        <v>0</v>
      </c>
      <c r="C30" s="139">
        <f t="shared" si="3"/>
        <v>0</v>
      </c>
      <c r="D30" s="141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0</v>
      </c>
      <c r="C31" s="139">
        <f t="shared" si="3"/>
        <v>0</v>
      </c>
      <c r="D31" s="131"/>
    </row>
    <row r="32" spans="1:27" ht="14.25" customHeight="1">
      <c r="A32" s="6" t="s">
        <v>294</v>
      </c>
      <c r="B32" s="8">
        <v>0</v>
      </c>
      <c r="C32" s="139">
        <f t="shared" si="3"/>
        <v>0</v>
      </c>
      <c r="D32" s="131"/>
    </row>
    <row r="33" spans="1:5" ht="14.25" customHeight="1">
      <c r="A33" s="6" t="s">
        <v>92</v>
      </c>
      <c r="B33" s="7">
        <v>702.25</v>
      </c>
      <c r="C33" s="139">
        <f t="shared" si="3"/>
        <v>702.25</v>
      </c>
      <c r="D33" s="131"/>
    </row>
    <row r="34" spans="1:5" ht="14.25" customHeight="1">
      <c r="A34" s="6" t="s">
        <v>259</v>
      </c>
      <c r="B34" s="7">
        <v>0</v>
      </c>
      <c r="C34" s="130"/>
      <c r="D34" s="131" t="s">
        <v>260</v>
      </c>
    </row>
    <row r="35" spans="1:5" ht="14.25" customHeight="1">
      <c r="A35" s="6" t="s">
        <v>404</v>
      </c>
      <c r="B35" s="7"/>
      <c r="C35" s="130">
        <f>35*F6</f>
        <v>385</v>
      </c>
      <c r="D35" s="131" t="s">
        <v>262</v>
      </c>
    </row>
    <row r="36" spans="1:5" ht="14.25" customHeight="1">
      <c r="A36" s="6" t="s">
        <v>263</v>
      </c>
      <c r="B36" s="7">
        <v>2817.88</v>
      </c>
      <c r="C36" s="130">
        <f>C64+C65</f>
        <v>5343</v>
      </c>
      <c r="D36" s="131" t="s">
        <v>405</v>
      </c>
    </row>
    <row r="37" spans="1:5" ht="14.25" customHeight="1">
      <c r="A37" s="6" t="s">
        <v>296</v>
      </c>
      <c r="B37" s="7"/>
      <c r="C37" s="130"/>
      <c r="D37" s="131" t="s">
        <v>406</v>
      </c>
    </row>
    <row r="38" spans="1:5" ht="14.25" customHeight="1">
      <c r="A38" s="6" t="s">
        <v>265</v>
      </c>
      <c r="B38" s="7">
        <v>425.77</v>
      </c>
      <c r="C38" s="130">
        <f>B38</f>
        <v>425.77</v>
      </c>
      <c r="D38" s="131"/>
    </row>
    <row r="39" spans="1:5" ht="14.25" customHeight="1">
      <c r="A39" s="6" t="s">
        <v>104</v>
      </c>
      <c r="B39" s="7">
        <v>0</v>
      </c>
      <c r="C39" s="130"/>
      <c r="D39" s="131"/>
    </row>
    <row r="40" spans="1:5" ht="14.25" customHeight="1">
      <c r="A40" s="6" t="s">
        <v>105</v>
      </c>
      <c r="B40" s="7">
        <v>0</v>
      </c>
      <c r="C40" s="130"/>
      <c r="D40" s="131"/>
    </row>
    <row r="41" spans="1:5" ht="14.25" customHeight="1">
      <c r="A41" s="6" t="s">
        <v>107</v>
      </c>
      <c r="B41" s="7">
        <v>4965.6400000000003</v>
      </c>
      <c r="C41" s="130">
        <v>0</v>
      </c>
      <c r="D41" s="131" t="s">
        <v>268</v>
      </c>
      <c r="E41" s="24" t="s">
        <v>407</v>
      </c>
    </row>
    <row r="42" spans="1:5" ht="14.25" customHeight="1">
      <c r="A42" s="6" t="s">
        <v>108</v>
      </c>
      <c r="B42" s="7">
        <v>0</v>
      </c>
      <c r="C42" s="130"/>
      <c r="D42" s="131"/>
    </row>
    <row r="43" spans="1:5" ht="14.25" customHeight="1">
      <c r="A43" s="6" t="s">
        <v>109</v>
      </c>
      <c r="B43" s="137">
        <f t="shared" ref="B43:C43" si="4">SUM(B27:B42)</f>
        <v>12220.900000000001</v>
      </c>
      <c r="C43" s="137">
        <f t="shared" si="4"/>
        <v>10165.380000000001</v>
      </c>
      <c r="D43" s="138"/>
    </row>
    <row r="44" spans="1:5" ht="14.25" customHeight="1">
      <c r="A44" s="6" t="s">
        <v>110</v>
      </c>
      <c r="B44" s="137">
        <f t="shared" ref="B44:C44" si="5">B43+B26</f>
        <v>12220.900000000001</v>
      </c>
      <c r="C44" s="137">
        <f t="shared" si="5"/>
        <v>10165.380000000001</v>
      </c>
      <c r="D44" s="138"/>
    </row>
    <row r="45" spans="1:5" ht="14.25" customHeight="1">
      <c r="A45" s="6"/>
      <c r="B45" s="137"/>
      <c r="C45" s="137"/>
      <c r="D45" s="138"/>
    </row>
    <row r="46" spans="1:5" ht="14.25" customHeight="1">
      <c r="A46" s="6" t="s">
        <v>270</v>
      </c>
      <c r="B46" s="7"/>
      <c r="C46" s="130"/>
      <c r="D46" s="131"/>
    </row>
    <row r="47" spans="1:5" ht="14.25" customHeight="1">
      <c r="A47" s="6" t="s">
        <v>271</v>
      </c>
      <c r="B47" s="7">
        <v>1210</v>
      </c>
      <c r="C47" s="130">
        <f>B47</f>
        <v>1210</v>
      </c>
    </row>
    <row r="48" spans="1:5" ht="14.25" customHeight="1">
      <c r="A48" s="6" t="s">
        <v>272</v>
      </c>
      <c r="B48" s="147">
        <v>0</v>
      </c>
      <c r="C48" s="130"/>
      <c r="D48" s="131"/>
    </row>
    <row r="49" spans="1:4" ht="14.25" customHeight="1">
      <c r="A49" s="6" t="s">
        <v>116</v>
      </c>
      <c r="B49" s="137">
        <f>(B47)+(B48)+B46</f>
        <v>1210</v>
      </c>
      <c r="C49" s="137">
        <f>(C47)+(C48)</f>
        <v>1210</v>
      </c>
      <c r="D49" s="138"/>
    </row>
    <row r="50" spans="1:4" ht="14.25" customHeight="1">
      <c r="A50" s="6" t="s">
        <v>273</v>
      </c>
      <c r="B50" s="7">
        <v>0</v>
      </c>
      <c r="C50" s="130"/>
      <c r="D50" s="131"/>
    </row>
    <row r="51" spans="1:4" ht="14.25" customHeight="1">
      <c r="A51" s="6" t="s">
        <v>274</v>
      </c>
      <c r="B51" s="7">
        <v>1638.34</v>
      </c>
      <c r="C51" s="130">
        <f>B51</f>
        <v>1638.34</v>
      </c>
      <c r="D51" s="131" t="s">
        <v>275</v>
      </c>
    </row>
    <row r="52" spans="1:4" ht="14.25" customHeight="1">
      <c r="A52" s="6" t="s">
        <v>276</v>
      </c>
      <c r="B52" s="147">
        <v>0</v>
      </c>
      <c r="C52" s="130"/>
      <c r="D52" s="131"/>
    </row>
    <row r="53" spans="1:4" ht="14.25" customHeight="1">
      <c r="A53" s="6" t="s">
        <v>277</v>
      </c>
      <c r="B53" s="137">
        <f t="shared" ref="B53:C53" si="6">(B51)+(B52)</f>
        <v>1638.34</v>
      </c>
      <c r="C53" s="137">
        <f t="shared" si="6"/>
        <v>1638.34</v>
      </c>
      <c r="D53" s="138"/>
    </row>
    <row r="54" spans="1:4" ht="14.25" customHeight="1">
      <c r="A54" s="6" t="s">
        <v>278</v>
      </c>
      <c r="B54" s="137">
        <f t="shared" ref="B54:C54" si="7">B49-B53</f>
        <v>-428.33999999999992</v>
      </c>
      <c r="C54" s="137">
        <f t="shared" si="7"/>
        <v>-428.33999999999992</v>
      </c>
      <c r="D54" s="138"/>
    </row>
    <row r="55" spans="1:4" ht="14.25" customHeight="1">
      <c r="A55" s="6" t="s">
        <v>279</v>
      </c>
      <c r="B55" s="137">
        <f t="shared" ref="B55:C55" si="8">B17-B44+B54</f>
        <v>-7365.7400000000016</v>
      </c>
      <c r="C55" s="137">
        <f t="shared" si="8"/>
        <v>-5310.2200000000012</v>
      </c>
      <c r="D55" s="138"/>
    </row>
    <row r="56" spans="1:4" ht="14.25" customHeight="1">
      <c r="A56" s="6"/>
      <c r="B56" s="7"/>
      <c r="C56" s="130"/>
      <c r="D56" s="131"/>
    </row>
    <row r="57" spans="1:4" ht="14.25" customHeight="1">
      <c r="A57" s="24" t="s">
        <v>280</v>
      </c>
      <c r="B57" s="15"/>
      <c r="C57" s="148">
        <f>C36+C35+0.5*C37</f>
        <v>5728</v>
      </c>
      <c r="D57" s="149" t="s">
        <v>408</v>
      </c>
    </row>
    <row r="58" spans="1:4" ht="14.25" customHeight="1">
      <c r="A58" s="24" t="s">
        <v>343</v>
      </c>
      <c r="B58" s="15"/>
      <c r="C58" s="148">
        <f>C55+C57</f>
        <v>417.77999999999884</v>
      </c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42"/>
      <c r="D61" s="149"/>
    </row>
    <row r="62" spans="1:4" ht="14.25" customHeight="1">
      <c r="B62" s="15"/>
      <c r="C62" s="122"/>
      <c r="D62" s="149"/>
    </row>
    <row r="63" spans="1:4" ht="14.25" customHeight="1">
      <c r="A63" s="150" t="s">
        <v>283</v>
      </c>
      <c r="B63" s="151"/>
      <c r="C63" s="152"/>
      <c r="D63" s="153"/>
    </row>
    <row r="64" spans="1:4" ht="14.25" customHeight="1">
      <c r="A64" s="154" t="s">
        <v>229</v>
      </c>
      <c r="B64" s="17"/>
      <c r="C64" s="155">
        <v>2969</v>
      </c>
      <c r="D64" s="153"/>
    </row>
    <row r="65" spans="1:4" ht="14.25" customHeight="1">
      <c r="A65" s="156" t="s">
        <v>284</v>
      </c>
      <c r="B65" s="157"/>
      <c r="C65" s="158">
        <v>2374</v>
      </c>
      <c r="D65" s="153"/>
    </row>
    <row r="66" spans="1:4" ht="14.25" customHeight="1">
      <c r="B66" s="15"/>
      <c r="C66" s="40"/>
      <c r="D66" s="149"/>
    </row>
    <row r="67" spans="1:4" ht="14.25" customHeight="1">
      <c r="D67" s="109"/>
    </row>
    <row r="68" spans="1:4" ht="14.25" customHeight="1">
      <c r="D68" s="109"/>
    </row>
    <row r="69" spans="1:4" ht="14.25" customHeight="1">
      <c r="D69" s="109"/>
    </row>
    <row r="70" spans="1:4" ht="14.25" customHeight="1">
      <c r="D70" s="109"/>
    </row>
    <row r="71" spans="1:4" ht="14.25" customHeight="1">
      <c r="D71" s="109"/>
    </row>
    <row r="72" spans="1:4" ht="14.25" customHeight="1">
      <c r="D72" s="109"/>
    </row>
    <row r="73" spans="1:4" ht="14.25" customHeight="1">
      <c r="D73" s="109"/>
    </row>
    <row r="74" spans="1:4" ht="14.25" customHeight="1">
      <c r="D74" s="109"/>
    </row>
    <row r="75" spans="1:4" ht="14.25" customHeight="1">
      <c r="D75" s="109"/>
    </row>
    <row r="76" spans="1:4" ht="14.25" customHeight="1">
      <c r="D76" s="109"/>
    </row>
    <row r="77" spans="1:4" ht="14.25" customHeight="1">
      <c r="D77" s="109"/>
    </row>
    <row r="78" spans="1:4" ht="14.25" customHeight="1">
      <c r="D78" s="109"/>
    </row>
    <row r="79" spans="1:4" ht="14.25" customHeight="1">
      <c r="D79" s="109"/>
    </row>
    <row r="80" spans="1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>
      <c r="D967" s="109"/>
    </row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  <row r="978" ht="14.25" customHeight="1"/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97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39.28515625" customWidth="1"/>
    <col min="2" max="2" width="12" customWidth="1"/>
    <col min="3" max="3" width="16" customWidth="1"/>
    <col min="4" max="4" width="46.285156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409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v>1174.3499999999999</v>
      </c>
      <c r="C2" s="15"/>
      <c r="D2" s="115" t="s">
        <v>410</v>
      </c>
      <c r="E2" s="116" t="s">
        <v>229</v>
      </c>
      <c r="F2" s="117">
        <v>21</v>
      </c>
      <c r="G2" s="118" t="s">
        <v>230</v>
      </c>
    </row>
    <row r="3" spans="1:7" ht="14.25" customHeight="1">
      <c r="B3" s="108"/>
      <c r="C3" s="15"/>
      <c r="D3" s="115" t="s">
        <v>411</v>
      </c>
      <c r="E3" s="116" t="s">
        <v>347</v>
      </c>
      <c r="F3" s="120">
        <v>44</v>
      </c>
      <c r="G3" s="118" t="s">
        <v>230</v>
      </c>
    </row>
    <row r="4" spans="1:7" ht="14.25" customHeight="1">
      <c r="B4" s="108"/>
      <c r="C4" s="15"/>
      <c r="D4" s="160" t="s">
        <v>288</v>
      </c>
      <c r="E4" s="116" t="s">
        <v>233</v>
      </c>
      <c r="F4" s="117">
        <f>F2+F3</f>
        <v>65</v>
      </c>
      <c r="G4" s="118"/>
    </row>
    <row r="5" spans="1:7" ht="14.25" customHeight="1">
      <c r="B5" s="108"/>
      <c r="C5" s="15"/>
      <c r="D5" s="119"/>
      <c r="E5" s="116"/>
      <c r="G5" s="118"/>
    </row>
    <row r="6" spans="1:7" ht="14.25" customHeight="1">
      <c r="B6" s="121"/>
      <c r="C6" s="122"/>
      <c r="D6" s="178"/>
      <c r="E6" s="124" t="s">
        <v>234</v>
      </c>
      <c r="F6" s="125">
        <v>11</v>
      </c>
      <c r="G6" s="126" t="s">
        <v>401</v>
      </c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/>
      <c r="C9" s="132"/>
      <c r="D9" s="131" t="s">
        <v>412</v>
      </c>
    </row>
    <row r="10" spans="1:7" ht="14.25" customHeight="1">
      <c r="A10" s="6" t="s">
        <v>239</v>
      </c>
      <c r="B10" s="7">
        <v>0</v>
      </c>
      <c r="C10" s="130"/>
      <c r="D10" s="131"/>
    </row>
    <row r="11" spans="1:7" ht="14.25" customHeight="1">
      <c r="A11" s="6" t="s">
        <v>241</v>
      </c>
      <c r="B11" s="7">
        <v>0</v>
      </c>
      <c r="C11" s="130"/>
      <c r="D11" s="131" t="s">
        <v>242</v>
      </c>
    </row>
    <row r="12" spans="1:7" ht="14.25" customHeight="1">
      <c r="A12" s="6" t="s">
        <v>243</v>
      </c>
      <c r="B12" s="7">
        <v>0</v>
      </c>
      <c r="C12" s="130"/>
      <c r="D12" s="131"/>
    </row>
    <row r="13" spans="1:7" ht="14.25" customHeight="1">
      <c r="A13" s="6" t="s">
        <v>37</v>
      </c>
      <c r="B13" s="7">
        <v>0</v>
      </c>
      <c r="C13" s="132"/>
      <c r="D13" s="131"/>
    </row>
    <row r="14" spans="1:7" ht="14.25" customHeight="1">
      <c r="A14" s="6" t="s">
        <v>308</v>
      </c>
      <c r="B14" s="7">
        <v>0</v>
      </c>
      <c r="C14" s="132"/>
      <c r="D14" s="131"/>
    </row>
    <row r="15" spans="1:7" ht="14.25" customHeight="1">
      <c r="A15" s="6" t="s">
        <v>246</v>
      </c>
      <c r="B15" s="7">
        <v>0</v>
      </c>
      <c r="C15" s="132"/>
      <c r="D15" s="131"/>
    </row>
    <row r="16" spans="1:7" ht="14.25" customHeight="1">
      <c r="A16" s="6" t="s">
        <v>248</v>
      </c>
      <c r="B16" s="134">
        <v>0</v>
      </c>
      <c r="C16" s="180">
        <v>5000</v>
      </c>
      <c r="D16" s="181" t="s">
        <v>338</v>
      </c>
    </row>
    <row r="17" spans="1:27" ht="14.25" customHeight="1">
      <c r="A17" s="6" t="s">
        <v>41</v>
      </c>
      <c r="B17" s="137">
        <f t="shared" ref="B17:C17" si="0">SUM(B9:B16)</f>
        <v>0</v>
      </c>
      <c r="C17" s="137">
        <f t="shared" si="0"/>
        <v>5000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/>
      <c r="D21" s="131"/>
    </row>
    <row r="22" spans="1:27" ht="14.25" customHeight="1">
      <c r="A22" s="6" t="s">
        <v>250</v>
      </c>
      <c r="B22" s="7">
        <v>0</v>
      </c>
      <c r="C22" s="130"/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/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1">SUM(B21:B25)</f>
        <v>0</v>
      </c>
      <c r="C26" s="137">
        <f t="shared" si="1"/>
        <v>0</v>
      </c>
      <c r="D26" s="138"/>
    </row>
    <row r="27" spans="1:27" ht="14.25" customHeight="1">
      <c r="A27" s="6" t="s">
        <v>81</v>
      </c>
      <c r="B27" s="7"/>
      <c r="C27" s="130"/>
      <c r="D27" s="131"/>
    </row>
    <row r="28" spans="1:27" ht="14.25" customHeight="1">
      <c r="A28" s="6" t="s">
        <v>86</v>
      </c>
      <c r="B28" s="8">
        <v>1393.35</v>
      </c>
      <c r="C28" s="139">
        <f>B28</f>
        <v>1393.35</v>
      </c>
      <c r="D28" s="131"/>
    </row>
    <row r="29" spans="1:27" ht="14.25" customHeight="1">
      <c r="A29" s="6" t="s">
        <v>87</v>
      </c>
      <c r="B29" s="7">
        <v>0</v>
      </c>
      <c r="C29" s="130"/>
      <c r="D29" s="131"/>
    </row>
    <row r="30" spans="1:27" ht="14.25" customHeight="1">
      <c r="A30" s="167" t="s">
        <v>255</v>
      </c>
      <c r="B30" s="168">
        <v>0</v>
      </c>
      <c r="C30" s="34"/>
      <c r="D30" s="141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0</v>
      </c>
      <c r="C31" s="130"/>
      <c r="D31" s="131"/>
    </row>
    <row r="32" spans="1:27" ht="14.25" customHeight="1">
      <c r="A32" s="6" t="s">
        <v>294</v>
      </c>
      <c r="B32" s="8">
        <v>0</v>
      </c>
      <c r="C32" s="139"/>
      <c r="D32" s="131"/>
    </row>
    <row r="33" spans="1:4" ht="14.25" customHeight="1">
      <c r="A33" s="6" t="s">
        <v>92</v>
      </c>
      <c r="B33" s="7">
        <f>2509.42+212.5</f>
        <v>2721.92</v>
      </c>
      <c r="C33" s="130">
        <f>B33</f>
        <v>2721.92</v>
      </c>
      <c r="D33" s="131"/>
    </row>
    <row r="34" spans="1:4" ht="14.25" customHeight="1">
      <c r="A34" s="6" t="s">
        <v>259</v>
      </c>
      <c r="B34" s="7">
        <v>0</v>
      </c>
      <c r="C34" s="130"/>
      <c r="D34" s="131" t="s">
        <v>260</v>
      </c>
    </row>
    <row r="35" spans="1:4" ht="14.25" customHeight="1">
      <c r="A35" s="6" t="s">
        <v>261</v>
      </c>
      <c r="B35" s="7"/>
      <c r="C35" s="130">
        <f>35*F6</f>
        <v>385</v>
      </c>
      <c r="D35" s="131" t="s">
        <v>262</v>
      </c>
    </row>
    <row r="36" spans="1:4" ht="14.25" customHeight="1">
      <c r="A36" s="6" t="s">
        <v>263</v>
      </c>
      <c r="B36" s="7">
        <v>4691.08</v>
      </c>
      <c r="C36" s="130">
        <f>2374</f>
        <v>2374</v>
      </c>
      <c r="D36" s="131" t="s">
        <v>413</v>
      </c>
    </row>
    <row r="37" spans="1:4" ht="14.25" customHeight="1">
      <c r="A37" s="6" t="s">
        <v>265</v>
      </c>
      <c r="B37" s="7">
        <v>346.54</v>
      </c>
      <c r="C37" s="130">
        <f>B37</f>
        <v>346.54</v>
      </c>
      <c r="D37" s="131"/>
    </row>
    <row r="38" spans="1:4" ht="14.25" customHeight="1">
      <c r="A38" s="6" t="s">
        <v>104</v>
      </c>
      <c r="B38" s="7">
        <v>0</v>
      </c>
      <c r="C38" s="130"/>
      <c r="D38" s="131"/>
    </row>
    <row r="39" spans="1:4" ht="14.25" customHeight="1">
      <c r="A39" s="6" t="s">
        <v>105</v>
      </c>
      <c r="B39" s="7">
        <v>0</v>
      </c>
      <c r="C39" s="130"/>
      <c r="D39" s="131"/>
    </row>
    <row r="40" spans="1:4" ht="14.25" customHeight="1">
      <c r="A40" s="6" t="s">
        <v>107</v>
      </c>
      <c r="B40" s="7">
        <v>4700</v>
      </c>
      <c r="C40" s="130">
        <v>0</v>
      </c>
      <c r="D40" s="131" t="s">
        <v>268</v>
      </c>
    </row>
    <row r="41" spans="1:4" ht="14.25" customHeight="1">
      <c r="A41" s="6" t="s">
        <v>108</v>
      </c>
      <c r="B41" s="7">
        <v>0</v>
      </c>
      <c r="C41" s="130"/>
      <c r="D41" s="131"/>
    </row>
    <row r="42" spans="1:4" ht="14.25" customHeight="1">
      <c r="A42" s="6" t="s">
        <v>109</v>
      </c>
      <c r="B42" s="137">
        <f t="shared" ref="B42:C42" si="2">SUM(B27:B41)</f>
        <v>13852.890000000001</v>
      </c>
      <c r="C42" s="137">
        <f t="shared" si="2"/>
        <v>7220.81</v>
      </c>
      <c r="D42" s="138"/>
    </row>
    <row r="43" spans="1:4" ht="14.25" customHeight="1">
      <c r="A43" s="6" t="s">
        <v>110</v>
      </c>
      <c r="B43" s="137">
        <f t="shared" ref="B43:C43" si="3">B42+B26</f>
        <v>13852.890000000001</v>
      </c>
      <c r="C43" s="137">
        <f t="shared" si="3"/>
        <v>7220.81</v>
      </c>
      <c r="D43" s="138"/>
    </row>
    <row r="44" spans="1:4" ht="14.25" customHeight="1">
      <c r="A44" s="6"/>
      <c r="B44" s="137"/>
      <c r="C44" s="137"/>
      <c r="D44" s="138"/>
    </row>
    <row r="45" spans="1:4" ht="14.25" customHeight="1">
      <c r="A45" s="6" t="s">
        <v>270</v>
      </c>
      <c r="B45" s="7"/>
      <c r="C45" s="130"/>
      <c r="D45" s="131"/>
    </row>
    <row r="46" spans="1:4" ht="14.25" customHeight="1">
      <c r="A46" s="6" t="s">
        <v>271</v>
      </c>
      <c r="B46" s="7">
        <v>0</v>
      </c>
      <c r="C46" s="130"/>
    </row>
    <row r="47" spans="1:4" ht="14.25" customHeight="1">
      <c r="A47" s="6" t="s">
        <v>272</v>
      </c>
      <c r="B47" s="147">
        <v>0</v>
      </c>
      <c r="C47" s="130"/>
      <c r="D47" s="131"/>
    </row>
    <row r="48" spans="1:4" ht="14.25" customHeight="1">
      <c r="A48" s="6" t="s">
        <v>116</v>
      </c>
      <c r="B48" s="137">
        <f>(B46)+(B47)+B45</f>
        <v>0</v>
      </c>
      <c r="C48" s="137">
        <f>(C46)+(C47)</f>
        <v>0</v>
      </c>
      <c r="D48" s="138"/>
    </row>
    <row r="49" spans="1:4" ht="14.25" customHeight="1">
      <c r="A49" s="6" t="s">
        <v>273</v>
      </c>
      <c r="B49" s="7">
        <v>0</v>
      </c>
      <c r="C49" s="130"/>
      <c r="D49" s="131"/>
    </row>
    <row r="50" spans="1:4" ht="14.25" customHeight="1">
      <c r="A50" s="6" t="s">
        <v>274</v>
      </c>
      <c r="B50" s="7">
        <v>0</v>
      </c>
      <c r="C50" s="130"/>
      <c r="D50" s="131" t="s">
        <v>275</v>
      </c>
    </row>
    <row r="51" spans="1:4" ht="14.25" customHeight="1">
      <c r="A51" s="6" t="s">
        <v>276</v>
      </c>
      <c r="B51" s="147">
        <v>0</v>
      </c>
      <c r="C51" s="130"/>
      <c r="D51" s="131"/>
    </row>
    <row r="52" spans="1:4" ht="14.25" customHeight="1">
      <c r="A52" s="6" t="s">
        <v>277</v>
      </c>
      <c r="B52" s="137">
        <f t="shared" ref="B52:C52" si="4">(B50)+(B51)</f>
        <v>0</v>
      </c>
      <c r="C52" s="137">
        <f t="shared" si="4"/>
        <v>0</v>
      </c>
      <c r="D52" s="138"/>
    </row>
    <row r="53" spans="1:4" ht="14.25" customHeight="1">
      <c r="A53" s="6" t="s">
        <v>278</v>
      </c>
      <c r="B53" s="137">
        <f t="shared" ref="B53:C53" si="5">B48-B52</f>
        <v>0</v>
      </c>
      <c r="C53" s="137">
        <f t="shared" si="5"/>
        <v>0</v>
      </c>
      <c r="D53" s="138"/>
    </row>
    <row r="54" spans="1:4" ht="14.25" customHeight="1">
      <c r="A54" s="6" t="s">
        <v>279</v>
      </c>
      <c r="B54" s="137">
        <f t="shared" ref="B54:C54" si="6">B17-B43+B53</f>
        <v>-13852.890000000001</v>
      </c>
      <c r="C54" s="137">
        <f t="shared" si="6"/>
        <v>-2220.8100000000004</v>
      </c>
      <c r="D54" s="138"/>
    </row>
    <row r="55" spans="1:4" ht="14.25" customHeight="1">
      <c r="A55" s="6"/>
      <c r="B55" s="7"/>
      <c r="C55" s="130"/>
      <c r="D55" s="131"/>
    </row>
    <row r="56" spans="1:4" ht="14.25" customHeight="1">
      <c r="A56" s="24" t="s">
        <v>280</v>
      </c>
      <c r="B56" s="15"/>
      <c r="C56" s="148">
        <f>C36+C35</f>
        <v>2759</v>
      </c>
      <c r="D56" s="149" t="s">
        <v>342</v>
      </c>
    </row>
    <row r="57" spans="1:4" ht="14.25" customHeight="1">
      <c r="A57" s="24" t="s">
        <v>343</v>
      </c>
      <c r="B57" s="15"/>
      <c r="C57" s="148">
        <f>C54+C56</f>
        <v>538.1899999999996</v>
      </c>
      <c r="D57" s="149"/>
    </row>
    <row r="58" spans="1:4" ht="14.25" customHeight="1">
      <c r="B58" s="15"/>
      <c r="C58" s="42"/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122"/>
      <c r="D61" s="149"/>
    </row>
    <row r="62" spans="1:4" ht="14.25" customHeight="1">
      <c r="A62" s="150" t="s">
        <v>283</v>
      </c>
      <c r="B62" s="151"/>
      <c r="C62" s="152"/>
      <c r="D62" s="153"/>
    </row>
    <row r="63" spans="1:4" ht="14.25" customHeight="1">
      <c r="A63" s="154" t="s">
        <v>229</v>
      </c>
      <c r="B63" s="17"/>
      <c r="C63" s="155">
        <v>2969</v>
      </c>
      <c r="D63" s="153"/>
    </row>
    <row r="64" spans="1:4" ht="14.25" customHeight="1">
      <c r="A64" s="156" t="s">
        <v>284</v>
      </c>
      <c r="B64" s="157"/>
      <c r="C64" s="158">
        <v>2374</v>
      </c>
      <c r="D64" s="153"/>
    </row>
    <row r="65" spans="2:4" ht="14.25" customHeight="1">
      <c r="B65" s="15"/>
      <c r="C65" s="40"/>
      <c r="D65" s="149"/>
    </row>
    <row r="66" spans="2:4" ht="14.25" customHeight="1">
      <c r="D66" s="109"/>
    </row>
    <row r="67" spans="2:4" ht="14.25" customHeight="1">
      <c r="D67" s="109"/>
    </row>
    <row r="68" spans="2:4" ht="14.25" customHeight="1">
      <c r="D68" s="109"/>
    </row>
    <row r="69" spans="2:4" ht="14.25" customHeight="1">
      <c r="D69" s="109"/>
    </row>
    <row r="70" spans="2:4" ht="14.25" customHeight="1">
      <c r="D70" s="109"/>
    </row>
    <row r="71" spans="2:4" ht="14.25" customHeight="1">
      <c r="D71" s="109"/>
    </row>
    <row r="72" spans="2:4" ht="14.25" customHeight="1">
      <c r="D72" s="109"/>
    </row>
    <row r="73" spans="2:4" ht="14.25" customHeight="1">
      <c r="D73" s="109"/>
    </row>
    <row r="74" spans="2:4" ht="14.25" customHeight="1">
      <c r="D74" s="109"/>
    </row>
    <row r="75" spans="2:4" ht="14.25" customHeight="1">
      <c r="D75" s="109"/>
    </row>
    <row r="76" spans="2:4" ht="14.25" customHeight="1">
      <c r="D76" s="109"/>
    </row>
    <row r="77" spans="2:4" ht="14.25" customHeight="1">
      <c r="D77" s="109"/>
    </row>
    <row r="78" spans="2:4" ht="14.25" customHeight="1">
      <c r="D78" s="109"/>
    </row>
    <row r="79" spans="2:4" ht="14.25" customHeight="1">
      <c r="D79" s="109"/>
    </row>
    <row r="80" spans="2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/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</sheetData>
  <pageMargins left="0.7" right="0.7" top="0.75" bottom="0.75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97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3" width="12.85546875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414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v>13809.12</v>
      </c>
      <c r="C2" s="15"/>
      <c r="D2" s="115" t="s">
        <v>415</v>
      </c>
      <c r="E2" s="116" t="s">
        <v>229</v>
      </c>
      <c r="F2" s="117">
        <v>23</v>
      </c>
      <c r="G2" s="118" t="s">
        <v>230</v>
      </c>
    </row>
    <row r="3" spans="1:7" ht="14.25" customHeight="1">
      <c r="B3" s="108"/>
      <c r="C3" s="15"/>
      <c r="D3" s="115" t="s">
        <v>416</v>
      </c>
      <c r="E3" s="116" t="s">
        <v>417</v>
      </c>
      <c r="F3" s="117">
        <v>22</v>
      </c>
      <c r="G3" s="118"/>
    </row>
    <row r="4" spans="1:7" ht="14.25" customHeight="1">
      <c r="B4" s="108"/>
      <c r="C4" s="15"/>
      <c r="D4" s="160" t="s">
        <v>288</v>
      </c>
      <c r="E4" s="116" t="s">
        <v>418</v>
      </c>
      <c r="F4" s="120">
        <v>21</v>
      </c>
      <c r="G4" s="118" t="s">
        <v>230</v>
      </c>
    </row>
    <row r="5" spans="1:7" ht="14.25" customHeight="1">
      <c r="B5" s="108"/>
      <c r="C5" s="15"/>
      <c r="D5" s="119"/>
      <c r="E5" s="116" t="s">
        <v>233</v>
      </c>
      <c r="F5" s="117">
        <f>SUM(F2:F4)</f>
        <v>66</v>
      </c>
      <c r="G5" s="118"/>
    </row>
    <row r="6" spans="1:7" ht="14.25" customHeight="1">
      <c r="B6" s="121"/>
      <c r="C6" s="122"/>
      <c r="D6" s="178"/>
      <c r="E6" s="116"/>
      <c r="G6" s="118"/>
    </row>
    <row r="7" spans="1:7" ht="14.25" customHeight="1">
      <c r="A7" s="4"/>
      <c r="B7" s="127" t="s">
        <v>236</v>
      </c>
      <c r="C7" s="128" t="s">
        <v>237</v>
      </c>
      <c r="D7" s="199" t="s">
        <v>5</v>
      </c>
      <c r="E7" s="124" t="s">
        <v>234</v>
      </c>
      <c r="F7" s="125">
        <v>11</v>
      </c>
      <c r="G7" s="126" t="s">
        <v>401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>
        <v>3275</v>
      </c>
      <c r="C9" s="132"/>
      <c r="D9" s="131" t="s">
        <v>419</v>
      </c>
    </row>
    <row r="10" spans="1:7" ht="14.25" customHeight="1">
      <c r="A10" s="6" t="s">
        <v>239</v>
      </c>
      <c r="B10" s="7"/>
      <c r="C10" s="130"/>
      <c r="D10" s="131"/>
    </row>
    <row r="11" spans="1:7" ht="14.25" customHeight="1">
      <c r="A11" s="6" t="s">
        <v>241</v>
      </c>
      <c r="B11" s="7"/>
      <c r="C11" s="130"/>
      <c r="D11" s="131" t="s">
        <v>242</v>
      </c>
    </row>
    <row r="12" spans="1:7" ht="14.25" customHeight="1">
      <c r="A12" s="6" t="s">
        <v>243</v>
      </c>
      <c r="B12" s="7"/>
      <c r="C12" s="130"/>
      <c r="D12" s="131"/>
    </row>
    <row r="13" spans="1:7" ht="14.25" customHeight="1">
      <c r="A13" s="6" t="s">
        <v>37</v>
      </c>
      <c r="B13" s="7"/>
      <c r="C13" s="132"/>
      <c r="D13" s="131"/>
    </row>
    <row r="14" spans="1:7" ht="14.25" customHeight="1">
      <c r="A14" s="6" t="s">
        <v>308</v>
      </c>
      <c r="B14" s="7">
        <v>-250</v>
      </c>
      <c r="C14" s="132"/>
      <c r="D14" s="131"/>
    </row>
    <row r="15" spans="1:7" ht="14.25" customHeight="1">
      <c r="A15" s="6" t="s">
        <v>246</v>
      </c>
      <c r="B15" s="7">
        <v>13423.6</v>
      </c>
      <c r="C15" s="132"/>
      <c r="D15" s="131"/>
    </row>
    <row r="16" spans="1:7" ht="14.25" customHeight="1">
      <c r="A16" s="6" t="s">
        <v>248</v>
      </c>
      <c r="B16" s="134"/>
      <c r="C16" s="135"/>
      <c r="D16" s="181"/>
    </row>
    <row r="17" spans="1:27" ht="14.25" customHeight="1">
      <c r="A17" s="6" t="s">
        <v>41</v>
      </c>
      <c r="B17" s="137">
        <f>SUM(B9:B16)</f>
        <v>16448.599999999999</v>
      </c>
      <c r="C17" s="137">
        <f>SUM(C9:C15)</f>
        <v>0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1310.8</v>
      </c>
      <c r="C21" s="130"/>
      <c r="D21" s="131"/>
    </row>
    <row r="22" spans="1:27" ht="14.25" customHeight="1">
      <c r="A22" s="6" t="s">
        <v>250</v>
      </c>
      <c r="B22" s="7">
        <v>0</v>
      </c>
      <c r="C22" s="130"/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/>
    </row>
    <row r="25" spans="1:27" ht="14.25" customHeight="1">
      <c r="A25" s="6" t="s">
        <v>252</v>
      </c>
      <c r="B25" s="7">
        <v>485.94</v>
      </c>
      <c r="C25" s="130"/>
      <c r="D25" s="131"/>
    </row>
    <row r="26" spans="1:27" ht="14.25" customHeight="1">
      <c r="A26" s="6" t="s">
        <v>253</v>
      </c>
      <c r="B26" s="137">
        <f t="shared" ref="B26:C26" si="0">SUM(B21:B25)</f>
        <v>1796.74</v>
      </c>
      <c r="C26" s="137">
        <f t="shared" si="0"/>
        <v>0</v>
      </c>
      <c r="D26" s="138"/>
    </row>
    <row r="27" spans="1:27" ht="14.25" customHeight="1">
      <c r="A27" s="6" t="s">
        <v>81</v>
      </c>
      <c r="B27" s="7"/>
      <c r="C27" s="130"/>
      <c r="D27" s="131"/>
    </row>
    <row r="28" spans="1:27" ht="14.25" customHeight="1">
      <c r="A28" s="6" t="s">
        <v>86</v>
      </c>
      <c r="B28" s="8">
        <v>1159.8800000000001</v>
      </c>
      <c r="C28" s="139">
        <v>3500</v>
      </c>
      <c r="D28" s="131"/>
    </row>
    <row r="29" spans="1:27" ht="14.25" customHeight="1">
      <c r="A29" s="6" t="s">
        <v>87</v>
      </c>
      <c r="B29" s="7">
        <v>546.29</v>
      </c>
      <c r="C29" s="130"/>
      <c r="D29" s="131"/>
    </row>
    <row r="30" spans="1:27" ht="14.25" customHeight="1">
      <c r="A30" s="167" t="s">
        <v>255</v>
      </c>
      <c r="B30" s="168">
        <v>0</v>
      </c>
      <c r="C30" s="34"/>
      <c r="D30" s="141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0</v>
      </c>
      <c r="C31" s="130"/>
      <c r="D31" s="131"/>
      <c r="E31" s="169"/>
      <c r="F31" s="169"/>
      <c r="G31" s="169"/>
    </row>
    <row r="32" spans="1:27" ht="14.25" customHeight="1">
      <c r="A32" s="6" t="s">
        <v>294</v>
      </c>
      <c r="B32" s="8">
        <v>0</v>
      </c>
      <c r="C32" s="139"/>
      <c r="D32" s="131"/>
    </row>
    <row r="33" spans="1:4" ht="14.25" customHeight="1">
      <c r="A33" s="6" t="s">
        <v>92</v>
      </c>
      <c r="B33" s="7">
        <f>2692.53+212.5</f>
        <v>2905.03</v>
      </c>
      <c r="C33" s="130"/>
      <c r="D33" s="131" t="s">
        <v>420</v>
      </c>
    </row>
    <row r="34" spans="1:4" ht="14.25" customHeight="1">
      <c r="A34" s="6" t="s">
        <v>259</v>
      </c>
      <c r="B34" s="7"/>
      <c r="C34" s="130"/>
      <c r="D34" s="131" t="s">
        <v>260</v>
      </c>
    </row>
    <row r="35" spans="1:4" ht="14.25" customHeight="1">
      <c r="A35" s="6" t="s">
        <v>261</v>
      </c>
      <c r="B35" s="7"/>
      <c r="C35" s="130">
        <f>35*F7</f>
        <v>385</v>
      </c>
      <c r="D35" s="131" t="s">
        <v>262</v>
      </c>
    </row>
    <row r="36" spans="1:4" ht="14.25" customHeight="1">
      <c r="A36" s="6" t="s">
        <v>263</v>
      </c>
      <c r="B36" s="7">
        <v>6985.9</v>
      </c>
      <c r="C36" s="130">
        <f>C64*4</f>
        <v>9496</v>
      </c>
      <c r="D36" s="131" t="s">
        <v>421</v>
      </c>
    </row>
    <row r="37" spans="1:4" ht="14.25" customHeight="1">
      <c r="A37" s="6" t="s">
        <v>265</v>
      </c>
      <c r="B37" s="7">
        <v>198.82</v>
      </c>
      <c r="C37" s="130"/>
      <c r="D37" s="131"/>
    </row>
    <row r="38" spans="1:4" ht="14.25" customHeight="1">
      <c r="A38" s="6" t="s">
        <v>104</v>
      </c>
      <c r="B38" s="7">
        <v>0</v>
      </c>
      <c r="C38" s="130"/>
      <c r="D38" s="131"/>
    </row>
    <row r="39" spans="1:4" ht="14.25" customHeight="1">
      <c r="A39" s="6" t="s">
        <v>105</v>
      </c>
      <c r="B39" s="7">
        <v>0</v>
      </c>
      <c r="C39" s="130"/>
      <c r="D39" s="131"/>
    </row>
    <row r="40" spans="1:4" ht="14.25" customHeight="1">
      <c r="A40" s="6" t="s">
        <v>107</v>
      </c>
      <c r="B40" s="7">
        <v>5572.75</v>
      </c>
      <c r="C40" s="130">
        <v>1500</v>
      </c>
      <c r="D40" s="131" t="s">
        <v>268</v>
      </c>
    </row>
    <row r="41" spans="1:4" ht="14.25" customHeight="1">
      <c r="A41" s="6" t="s">
        <v>108</v>
      </c>
      <c r="B41" s="7">
        <v>250</v>
      </c>
      <c r="C41" s="130"/>
      <c r="D41" s="131"/>
    </row>
    <row r="42" spans="1:4" ht="14.25" customHeight="1">
      <c r="A42" s="6" t="s">
        <v>109</v>
      </c>
      <c r="B42" s="137">
        <f t="shared" ref="B42:C42" si="1">SUM(B27:B41)</f>
        <v>17618.669999999998</v>
      </c>
      <c r="C42" s="137">
        <f t="shared" si="1"/>
        <v>14881</v>
      </c>
      <c r="D42" s="138"/>
    </row>
    <row r="43" spans="1:4" ht="14.25" customHeight="1">
      <c r="A43" s="6" t="s">
        <v>110</v>
      </c>
      <c r="B43" s="137">
        <f t="shared" ref="B43:C43" si="2">B42+B26</f>
        <v>19415.41</v>
      </c>
      <c r="C43" s="137">
        <f t="shared" si="2"/>
        <v>14881</v>
      </c>
      <c r="D43" s="138"/>
    </row>
    <row r="44" spans="1:4" ht="14.25" customHeight="1">
      <c r="A44" s="6"/>
      <c r="B44" s="137"/>
      <c r="C44" s="137"/>
      <c r="D44" s="138"/>
    </row>
    <row r="45" spans="1:4" ht="14.25" customHeight="1">
      <c r="A45" s="6" t="s">
        <v>270</v>
      </c>
      <c r="B45" s="7"/>
      <c r="C45" s="130"/>
      <c r="D45" s="131"/>
    </row>
    <row r="46" spans="1:4" ht="14.25" customHeight="1">
      <c r="A46" s="6" t="s">
        <v>271</v>
      </c>
      <c r="B46" s="7">
        <v>250</v>
      </c>
      <c r="C46" s="130"/>
    </row>
    <row r="47" spans="1:4" ht="14.25" customHeight="1">
      <c r="A47" s="6" t="s">
        <v>272</v>
      </c>
      <c r="B47" s="147">
        <v>0</v>
      </c>
      <c r="C47" s="130"/>
      <c r="D47" s="131"/>
    </row>
    <row r="48" spans="1:4" ht="14.25" customHeight="1">
      <c r="A48" s="6" t="s">
        <v>116</v>
      </c>
      <c r="B48" s="137">
        <f>(B46)+(B47)+B45</f>
        <v>250</v>
      </c>
      <c r="C48" s="137">
        <f>(C46)+(C47)</f>
        <v>0</v>
      </c>
      <c r="D48" s="138"/>
    </row>
    <row r="49" spans="1:4" ht="14.25" customHeight="1">
      <c r="A49" s="6" t="s">
        <v>273</v>
      </c>
      <c r="B49" s="7">
        <v>0</v>
      </c>
      <c r="C49" s="130"/>
      <c r="D49" s="131"/>
    </row>
    <row r="50" spans="1:4" ht="14.25" customHeight="1">
      <c r="A50" s="6" t="s">
        <v>274</v>
      </c>
      <c r="B50" s="7">
        <v>0</v>
      </c>
      <c r="C50" s="130"/>
      <c r="D50" s="131" t="s">
        <v>275</v>
      </c>
    </row>
    <row r="51" spans="1:4" ht="14.25" customHeight="1">
      <c r="A51" s="6" t="s">
        <v>276</v>
      </c>
      <c r="B51" s="147">
        <v>0</v>
      </c>
      <c r="C51" s="130"/>
      <c r="D51" s="131"/>
    </row>
    <row r="52" spans="1:4" ht="14.25" customHeight="1">
      <c r="A52" s="6" t="s">
        <v>277</v>
      </c>
      <c r="B52" s="137">
        <f t="shared" ref="B52:C52" si="3">(B50)+(B51)</f>
        <v>0</v>
      </c>
      <c r="C52" s="137">
        <f t="shared" si="3"/>
        <v>0</v>
      </c>
      <c r="D52" s="138"/>
    </row>
    <row r="53" spans="1:4" ht="14.25" customHeight="1">
      <c r="A53" s="6" t="s">
        <v>278</v>
      </c>
      <c r="B53" s="137">
        <f t="shared" ref="B53:C53" si="4">B48-B52</f>
        <v>250</v>
      </c>
      <c r="C53" s="137">
        <f t="shared" si="4"/>
        <v>0</v>
      </c>
      <c r="D53" s="138"/>
    </row>
    <row r="54" spans="1:4" ht="14.25" customHeight="1">
      <c r="A54" s="6" t="s">
        <v>279</v>
      </c>
      <c r="B54" s="137">
        <f t="shared" ref="B54:C54" si="5">B17-B43+B53</f>
        <v>-2716.8100000000013</v>
      </c>
      <c r="C54" s="137">
        <f t="shared" si="5"/>
        <v>-14881</v>
      </c>
      <c r="D54" s="138"/>
    </row>
    <row r="55" spans="1:4" ht="14.25" customHeight="1">
      <c r="A55" s="6"/>
      <c r="B55" s="7"/>
      <c r="C55" s="130"/>
      <c r="D55" s="131"/>
    </row>
    <row r="56" spans="1:4" ht="14.25" customHeight="1">
      <c r="A56" s="24" t="s">
        <v>280</v>
      </c>
      <c r="B56" s="15"/>
      <c r="C56" s="148">
        <f>C36-2374*2+C35</f>
        <v>5133</v>
      </c>
      <c r="D56" s="149" t="s">
        <v>422</v>
      </c>
    </row>
    <row r="57" spans="1:4" ht="14.25" customHeight="1">
      <c r="A57" s="24" t="s">
        <v>343</v>
      </c>
      <c r="B57" s="15"/>
      <c r="C57" s="148">
        <f>C54+C56</f>
        <v>-9748</v>
      </c>
      <c r="D57" s="149"/>
    </row>
    <row r="58" spans="1:4" ht="14.25" customHeight="1">
      <c r="B58" s="15"/>
      <c r="C58" s="42"/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122"/>
      <c r="D61" s="149"/>
    </row>
    <row r="62" spans="1:4" ht="14.25" customHeight="1">
      <c r="A62" s="150" t="s">
        <v>283</v>
      </c>
      <c r="B62" s="151"/>
      <c r="C62" s="152"/>
      <c r="D62" s="153"/>
    </row>
    <row r="63" spans="1:4" ht="14.25" customHeight="1">
      <c r="A63" s="154" t="s">
        <v>229</v>
      </c>
      <c r="B63" s="17"/>
      <c r="C63" s="155">
        <v>2969</v>
      </c>
      <c r="D63" s="153"/>
    </row>
    <row r="64" spans="1:4" ht="14.25" customHeight="1">
      <c r="A64" s="156" t="s">
        <v>284</v>
      </c>
      <c r="B64" s="157"/>
      <c r="C64" s="158">
        <v>2374</v>
      </c>
      <c r="D64" s="153"/>
    </row>
    <row r="65" spans="2:4" ht="14.25" customHeight="1">
      <c r="B65" s="15"/>
      <c r="C65" s="40"/>
      <c r="D65" s="149"/>
    </row>
    <row r="66" spans="2:4" ht="14.25" customHeight="1">
      <c r="D66" s="109"/>
    </row>
    <row r="67" spans="2:4" ht="14.25" customHeight="1">
      <c r="D67" s="109"/>
    </row>
    <row r="68" spans="2:4" ht="14.25" customHeight="1">
      <c r="D68" s="109"/>
    </row>
    <row r="69" spans="2:4" ht="14.25" customHeight="1">
      <c r="D69" s="109"/>
    </row>
    <row r="70" spans="2:4" ht="14.25" customHeight="1">
      <c r="D70" s="109"/>
    </row>
    <row r="71" spans="2:4" ht="14.25" customHeight="1">
      <c r="D71" s="109"/>
    </row>
    <row r="72" spans="2:4" ht="14.25" customHeight="1">
      <c r="D72" s="109"/>
    </row>
    <row r="73" spans="2:4" ht="14.25" customHeight="1">
      <c r="D73" s="109"/>
    </row>
    <row r="74" spans="2:4" ht="14.25" customHeight="1">
      <c r="D74" s="109"/>
    </row>
    <row r="75" spans="2:4" ht="14.25" customHeight="1">
      <c r="D75" s="109"/>
    </row>
    <row r="76" spans="2:4" ht="14.25" customHeight="1">
      <c r="D76" s="109"/>
    </row>
    <row r="77" spans="2:4" ht="14.25" customHeight="1">
      <c r="D77" s="109"/>
    </row>
    <row r="78" spans="2:4" ht="14.25" customHeight="1">
      <c r="D78" s="109"/>
    </row>
    <row r="79" spans="2:4" ht="14.25" customHeight="1">
      <c r="D79" s="109"/>
    </row>
    <row r="80" spans="2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/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97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3" width="13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187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v>913</v>
      </c>
      <c r="C2" s="15"/>
      <c r="D2" s="115" t="s">
        <v>423</v>
      </c>
      <c r="E2" s="116" t="s">
        <v>229</v>
      </c>
      <c r="F2" s="117">
        <v>13</v>
      </c>
      <c r="G2" s="118" t="s">
        <v>230</v>
      </c>
    </row>
    <row r="3" spans="1:7" ht="14.25" customHeight="1">
      <c r="B3" s="108"/>
      <c r="C3" s="15"/>
      <c r="D3" s="115" t="s">
        <v>424</v>
      </c>
      <c r="E3" s="116" t="s">
        <v>417</v>
      </c>
      <c r="F3" s="120">
        <v>13</v>
      </c>
      <c r="G3" s="118" t="s">
        <v>230</v>
      </c>
    </row>
    <row r="4" spans="1:7" ht="14.25" customHeight="1">
      <c r="B4" s="108"/>
      <c r="C4" s="15"/>
      <c r="D4" s="160" t="s">
        <v>288</v>
      </c>
      <c r="E4" s="116" t="s">
        <v>233</v>
      </c>
      <c r="F4" s="117">
        <f>SUM(F2:F3)</f>
        <v>26</v>
      </c>
      <c r="G4" s="118"/>
    </row>
    <row r="5" spans="1:7" ht="14.25" customHeight="1">
      <c r="B5" s="108"/>
      <c r="C5" s="15"/>
      <c r="D5" s="119"/>
      <c r="E5" s="116"/>
      <c r="G5" s="118"/>
    </row>
    <row r="6" spans="1:7" ht="14.25" customHeight="1">
      <c r="B6" s="121"/>
      <c r="C6" s="122"/>
      <c r="D6" s="178"/>
      <c r="E6" s="124" t="s">
        <v>234</v>
      </c>
      <c r="F6" s="125">
        <f>7</f>
        <v>7</v>
      </c>
      <c r="G6" s="126" t="s">
        <v>235</v>
      </c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/>
      <c r="C9" s="132"/>
      <c r="D9" s="131" t="s">
        <v>425</v>
      </c>
    </row>
    <row r="10" spans="1:7" ht="14.25" customHeight="1">
      <c r="A10" s="6" t="s">
        <v>239</v>
      </c>
      <c r="B10" s="7"/>
      <c r="C10" s="130"/>
      <c r="D10" s="131"/>
    </row>
    <row r="11" spans="1:7" ht="14.25" customHeight="1">
      <c r="A11" s="6" t="s">
        <v>241</v>
      </c>
      <c r="B11" s="7">
        <f>913</f>
        <v>913</v>
      </c>
      <c r="C11" s="130"/>
      <c r="D11" s="131" t="s">
        <v>242</v>
      </c>
    </row>
    <row r="12" spans="1:7" ht="14.25" customHeight="1">
      <c r="A12" s="6" t="s">
        <v>243</v>
      </c>
      <c r="B12" s="7"/>
      <c r="C12" s="130"/>
      <c r="D12" s="131"/>
    </row>
    <row r="13" spans="1:7" ht="14.25" customHeight="1">
      <c r="A13" s="6" t="s">
        <v>37</v>
      </c>
      <c r="B13" s="7"/>
      <c r="C13" s="132"/>
      <c r="D13" s="131"/>
    </row>
    <row r="14" spans="1:7" ht="14.25" customHeight="1">
      <c r="A14" s="6" t="s">
        <v>308</v>
      </c>
      <c r="B14" s="7"/>
      <c r="C14" s="132"/>
      <c r="D14" s="131"/>
    </row>
    <row r="15" spans="1:7" ht="14.25" customHeight="1">
      <c r="A15" s="6" t="s">
        <v>246</v>
      </c>
      <c r="B15" s="7"/>
      <c r="C15" s="132"/>
      <c r="D15" s="131"/>
    </row>
    <row r="16" spans="1:7" ht="14.25" customHeight="1">
      <c r="A16" s="6" t="s">
        <v>248</v>
      </c>
      <c r="B16" s="134"/>
      <c r="C16" s="180">
        <v>9000</v>
      </c>
      <c r="D16" s="181" t="s">
        <v>426</v>
      </c>
    </row>
    <row r="17" spans="1:27" ht="14.25" customHeight="1">
      <c r="A17" s="6" t="s">
        <v>41</v>
      </c>
      <c r="B17" s="137">
        <f t="shared" ref="B17:C17" si="0">SUM(B9:B16)</f>
        <v>913</v>
      </c>
      <c r="C17" s="137">
        <f t="shared" si="0"/>
        <v>9000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/>
      <c r="D21" s="131"/>
    </row>
    <row r="22" spans="1:27" ht="14.25" customHeight="1">
      <c r="A22" s="6" t="s">
        <v>250</v>
      </c>
      <c r="B22" s="7">
        <v>0</v>
      </c>
      <c r="C22" s="130"/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/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1">SUM(B21:B25)</f>
        <v>0</v>
      </c>
      <c r="C26" s="137">
        <f t="shared" si="1"/>
        <v>0</v>
      </c>
      <c r="D26" s="138"/>
    </row>
    <row r="27" spans="1:27" ht="14.25" customHeight="1">
      <c r="A27" s="6" t="s">
        <v>81</v>
      </c>
      <c r="B27" s="7"/>
      <c r="C27" s="130"/>
      <c r="D27" s="131"/>
    </row>
    <row r="28" spans="1:27" ht="14.25" customHeight="1">
      <c r="A28" s="6" t="s">
        <v>86</v>
      </c>
      <c r="B28" s="8">
        <v>3449.47</v>
      </c>
      <c r="C28" s="139">
        <f>4926.2</f>
        <v>4926.2</v>
      </c>
      <c r="D28" s="131" t="s">
        <v>427</v>
      </c>
    </row>
    <row r="29" spans="1:27" ht="14.25" customHeight="1">
      <c r="A29" s="6" t="s">
        <v>87</v>
      </c>
      <c r="B29" s="7">
        <v>0</v>
      </c>
      <c r="C29" s="139">
        <f>645.5+3036.38</f>
        <v>3681.88</v>
      </c>
      <c r="D29" s="131" t="s">
        <v>428</v>
      </c>
    </row>
    <row r="30" spans="1:27" ht="14.25" customHeight="1">
      <c r="A30" s="167" t="s">
        <v>255</v>
      </c>
      <c r="B30" s="168">
        <v>0</v>
      </c>
      <c r="C30" s="139">
        <f t="shared" ref="C30:C32" si="2">B30</f>
        <v>0</v>
      </c>
      <c r="D30" s="141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119</v>
      </c>
      <c r="C31" s="139">
        <f t="shared" si="2"/>
        <v>119</v>
      </c>
      <c r="D31" s="131"/>
    </row>
    <row r="32" spans="1:27" ht="14.25" customHeight="1">
      <c r="A32" s="6" t="s">
        <v>294</v>
      </c>
      <c r="B32" s="8">
        <v>0</v>
      </c>
      <c r="C32" s="139">
        <f t="shared" si="2"/>
        <v>0</v>
      </c>
      <c r="D32" s="131"/>
    </row>
    <row r="33" spans="1:4" ht="14.25" customHeight="1">
      <c r="A33" s="6" t="s">
        <v>92</v>
      </c>
      <c r="B33" s="7">
        <v>0</v>
      </c>
      <c r="C33" s="130"/>
      <c r="D33" s="131"/>
    </row>
    <row r="34" spans="1:4" ht="14.25" customHeight="1">
      <c r="A34" s="6" t="s">
        <v>259</v>
      </c>
      <c r="B34" s="7"/>
      <c r="C34" s="130"/>
      <c r="D34" s="131" t="s">
        <v>260</v>
      </c>
    </row>
    <row r="35" spans="1:4" ht="14.25" customHeight="1">
      <c r="A35" s="6" t="s">
        <v>404</v>
      </c>
      <c r="B35" s="7"/>
      <c r="C35" s="130">
        <f>35*F6</f>
        <v>245</v>
      </c>
      <c r="D35" s="131" t="s">
        <v>262</v>
      </c>
    </row>
    <row r="36" spans="1:4" ht="14.25" customHeight="1">
      <c r="A36" s="6" t="s">
        <v>263</v>
      </c>
      <c r="B36" s="7">
        <v>0</v>
      </c>
      <c r="C36" s="130">
        <f>C64</f>
        <v>2374</v>
      </c>
      <c r="D36" s="131" t="s">
        <v>429</v>
      </c>
    </row>
    <row r="37" spans="1:4" ht="14.25" customHeight="1">
      <c r="A37" s="6" t="s">
        <v>265</v>
      </c>
      <c r="B37" s="7">
        <v>0</v>
      </c>
      <c r="C37" s="130"/>
      <c r="D37" s="131"/>
    </row>
    <row r="38" spans="1:4" ht="14.25" customHeight="1">
      <c r="A38" s="6" t="s">
        <v>104</v>
      </c>
      <c r="B38" s="7">
        <v>0</v>
      </c>
      <c r="C38" s="130"/>
      <c r="D38" s="131"/>
    </row>
    <row r="39" spans="1:4" ht="14.25" customHeight="1">
      <c r="A39" s="6" t="s">
        <v>105</v>
      </c>
      <c r="B39" s="7">
        <v>0</v>
      </c>
      <c r="C39" s="130"/>
      <c r="D39" s="131"/>
    </row>
    <row r="40" spans="1:4" ht="14.25" customHeight="1">
      <c r="A40" s="6" t="s">
        <v>107</v>
      </c>
      <c r="B40" s="7">
        <v>0</v>
      </c>
      <c r="C40" s="130"/>
      <c r="D40" s="131" t="s">
        <v>268</v>
      </c>
    </row>
    <row r="41" spans="1:4" ht="14.25" customHeight="1">
      <c r="A41" s="6" t="s">
        <v>108</v>
      </c>
      <c r="B41" s="7">
        <v>500</v>
      </c>
      <c r="C41" s="130">
        <f>B41</f>
        <v>500</v>
      </c>
      <c r="D41" s="131"/>
    </row>
    <row r="42" spans="1:4" ht="14.25" customHeight="1">
      <c r="A42" s="6" t="s">
        <v>109</v>
      </c>
      <c r="B42" s="137">
        <f t="shared" ref="B42:C42" si="3">SUM(B27:B41)</f>
        <v>4068.47</v>
      </c>
      <c r="C42" s="137">
        <f t="shared" si="3"/>
        <v>11846.08</v>
      </c>
      <c r="D42" s="138"/>
    </row>
    <row r="43" spans="1:4" ht="14.25" customHeight="1">
      <c r="A43" s="6" t="s">
        <v>110</v>
      </c>
      <c r="B43" s="137">
        <f t="shared" ref="B43:C43" si="4">B42+B26</f>
        <v>4068.47</v>
      </c>
      <c r="C43" s="137">
        <f t="shared" si="4"/>
        <v>11846.08</v>
      </c>
      <c r="D43" s="138"/>
    </row>
    <row r="44" spans="1:4" ht="14.25" customHeight="1">
      <c r="A44" s="6"/>
      <c r="B44" s="137"/>
      <c r="C44" s="137"/>
      <c r="D44" s="138"/>
    </row>
    <row r="45" spans="1:4" ht="14.25" customHeight="1">
      <c r="A45" s="6" t="s">
        <v>270</v>
      </c>
      <c r="B45" s="7"/>
      <c r="C45" s="130"/>
      <c r="D45" s="131"/>
    </row>
    <row r="46" spans="1:4" ht="14.25" customHeight="1">
      <c r="A46" s="6" t="s">
        <v>271</v>
      </c>
      <c r="B46" s="7">
        <v>0</v>
      </c>
      <c r="C46" s="130"/>
    </row>
    <row r="47" spans="1:4" ht="14.25" customHeight="1">
      <c r="A47" s="6" t="s">
        <v>272</v>
      </c>
      <c r="B47" s="147">
        <v>0</v>
      </c>
      <c r="C47" s="130"/>
      <c r="D47" s="131"/>
    </row>
    <row r="48" spans="1:4" ht="14.25" customHeight="1">
      <c r="A48" s="6" t="s">
        <v>116</v>
      </c>
      <c r="B48" s="137">
        <f>(B46)+(B47)+B45</f>
        <v>0</v>
      </c>
      <c r="C48" s="137">
        <f>(C46)+(C47)</f>
        <v>0</v>
      </c>
      <c r="D48" s="138"/>
    </row>
    <row r="49" spans="1:4" ht="14.25" customHeight="1">
      <c r="A49" s="6" t="s">
        <v>273</v>
      </c>
      <c r="B49" s="7">
        <v>0</v>
      </c>
      <c r="C49" s="130"/>
      <c r="D49" s="131"/>
    </row>
    <row r="50" spans="1:4" ht="14.25" customHeight="1">
      <c r="A50" s="6" t="s">
        <v>274</v>
      </c>
      <c r="B50" s="7">
        <v>0</v>
      </c>
      <c r="C50" s="130"/>
      <c r="D50" s="131" t="s">
        <v>275</v>
      </c>
    </row>
    <row r="51" spans="1:4" ht="14.25" customHeight="1">
      <c r="A51" s="6" t="s">
        <v>276</v>
      </c>
      <c r="B51" s="147">
        <v>0</v>
      </c>
      <c r="C51" s="130"/>
      <c r="D51" s="131"/>
    </row>
    <row r="52" spans="1:4" ht="14.25" customHeight="1">
      <c r="A52" s="6" t="s">
        <v>277</v>
      </c>
      <c r="B52" s="137">
        <f t="shared" ref="B52:C52" si="5">(B50)+(B51)</f>
        <v>0</v>
      </c>
      <c r="C52" s="137">
        <f t="shared" si="5"/>
        <v>0</v>
      </c>
      <c r="D52" s="138"/>
    </row>
    <row r="53" spans="1:4" ht="14.25" customHeight="1">
      <c r="A53" s="6" t="s">
        <v>278</v>
      </c>
      <c r="B53" s="137">
        <f t="shared" ref="B53:C53" si="6">B48-B52</f>
        <v>0</v>
      </c>
      <c r="C53" s="137">
        <f t="shared" si="6"/>
        <v>0</v>
      </c>
      <c r="D53" s="138"/>
    </row>
    <row r="54" spans="1:4" ht="14.25" customHeight="1">
      <c r="A54" s="6" t="s">
        <v>279</v>
      </c>
      <c r="B54" s="137">
        <f t="shared" ref="B54:C54" si="7">B17-B43+B53</f>
        <v>-3155.47</v>
      </c>
      <c r="C54" s="137">
        <f t="shared" si="7"/>
        <v>-2846.08</v>
      </c>
      <c r="D54" s="138"/>
    </row>
    <row r="55" spans="1:4" ht="14.25" customHeight="1">
      <c r="A55" s="6"/>
      <c r="B55" s="7"/>
      <c r="C55" s="130"/>
      <c r="D55" s="131"/>
    </row>
    <row r="56" spans="1:4" ht="14.25" customHeight="1">
      <c r="A56" s="24" t="s">
        <v>280</v>
      </c>
      <c r="B56" s="15"/>
      <c r="C56" s="148">
        <f>C36+C35</f>
        <v>2619</v>
      </c>
      <c r="D56" s="149" t="s">
        <v>342</v>
      </c>
    </row>
    <row r="57" spans="1:4" ht="14.25" customHeight="1">
      <c r="A57" s="24" t="s">
        <v>343</v>
      </c>
      <c r="B57" s="15"/>
      <c r="C57" s="148">
        <f>C54+C56</f>
        <v>-227.07999999999993</v>
      </c>
      <c r="D57" s="149"/>
    </row>
    <row r="58" spans="1:4" ht="14.25" customHeight="1">
      <c r="B58" s="15"/>
      <c r="C58" s="42"/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122"/>
      <c r="D61" s="149"/>
    </row>
    <row r="62" spans="1:4" ht="14.25" customHeight="1">
      <c r="A62" s="150" t="s">
        <v>283</v>
      </c>
      <c r="B62" s="151"/>
      <c r="C62" s="152"/>
      <c r="D62" s="153"/>
    </row>
    <row r="63" spans="1:4" ht="14.25" customHeight="1">
      <c r="A63" s="154" t="s">
        <v>229</v>
      </c>
      <c r="B63" s="17"/>
      <c r="C63" s="155">
        <v>2969</v>
      </c>
      <c r="D63" s="153"/>
    </row>
    <row r="64" spans="1:4" ht="14.25" customHeight="1">
      <c r="A64" s="156" t="s">
        <v>284</v>
      </c>
      <c r="B64" s="157"/>
      <c r="C64" s="158">
        <v>2374</v>
      </c>
      <c r="D64" s="153"/>
    </row>
    <row r="65" spans="2:4" ht="14.25" customHeight="1">
      <c r="B65" s="15"/>
      <c r="C65" s="40"/>
      <c r="D65" s="149"/>
    </row>
    <row r="66" spans="2:4" ht="14.25" customHeight="1">
      <c r="D66" s="109"/>
    </row>
    <row r="67" spans="2:4" ht="14.25" customHeight="1">
      <c r="D67" s="109"/>
    </row>
    <row r="68" spans="2:4" ht="14.25" customHeight="1">
      <c r="D68" s="109"/>
    </row>
    <row r="69" spans="2:4" ht="14.25" customHeight="1">
      <c r="D69" s="109"/>
    </row>
    <row r="70" spans="2:4" ht="14.25" customHeight="1">
      <c r="D70" s="109"/>
    </row>
    <row r="71" spans="2:4" ht="14.25" customHeight="1">
      <c r="D71" s="109"/>
    </row>
    <row r="72" spans="2:4" ht="14.25" customHeight="1">
      <c r="D72" s="109"/>
    </row>
    <row r="73" spans="2:4" ht="14.25" customHeight="1">
      <c r="D73" s="109"/>
    </row>
    <row r="74" spans="2:4" ht="14.25" customHeight="1">
      <c r="D74" s="109"/>
    </row>
    <row r="75" spans="2:4" ht="14.25" customHeight="1">
      <c r="D75" s="109"/>
    </row>
    <row r="76" spans="2:4" ht="14.25" customHeight="1">
      <c r="D76" s="109"/>
    </row>
    <row r="77" spans="2:4" ht="14.25" customHeight="1">
      <c r="D77" s="109"/>
    </row>
    <row r="78" spans="2:4" ht="14.25" customHeight="1">
      <c r="D78" s="109"/>
    </row>
    <row r="79" spans="2:4" ht="14.25" customHeight="1">
      <c r="D79" s="109"/>
    </row>
    <row r="80" spans="2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/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A97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3" width="13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430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v>6453.26</v>
      </c>
      <c r="C2" s="15"/>
      <c r="D2" s="115" t="s">
        <v>431</v>
      </c>
      <c r="E2" s="116" t="s">
        <v>229</v>
      </c>
      <c r="F2" s="117">
        <v>50</v>
      </c>
      <c r="G2" s="118" t="s">
        <v>230</v>
      </c>
    </row>
    <row r="3" spans="1:7" ht="14.25" customHeight="1">
      <c r="B3" s="108"/>
      <c r="C3" s="15"/>
      <c r="D3" s="115" t="s">
        <v>432</v>
      </c>
      <c r="E3" s="116" t="s">
        <v>417</v>
      </c>
      <c r="F3" s="120">
        <v>50</v>
      </c>
      <c r="G3" s="118" t="s">
        <v>230</v>
      </c>
    </row>
    <row r="4" spans="1:7" ht="14.25" customHeight="1">
      <c r="B4" s="108"/>
      <c r="C4" s="15"/>
      <c r="D4" s="200"/>
      <c r="E4" s="116" t="s">
        <v>233</v>
      </c>
      <c r="F4" s="117">
        <f>SUM(F2:F3)</f>
        <v>100</v>
      </c>
      <c r="G4" s="118"/>
    </row>
    <row r="5" spans="1:7" ht="14.25" customHeight="1">
      <c r="B5" s="108"/>
      <c r="C5" s="15"/>
      <c r="D5" s="109"/>
      <c r="E5" s="116"/>
      <c r="G5" s="118"/>
    </row>
    <row r="6" spans="1:7" ht="14.25" customHeight="1">
      <c r="B6" s="121"/>
      <c r="C6" s="122"/>
      <c r="D6" s="123"/>
      <c r="E6" s="124" t="s">
        <v>234</v>
      </c>
      <c r="F6" s="125">
        <f>25</f>
        <v>25</v>
      </c>
      <c r="G6" s="126" t="s">
        <v>235</v>
      </c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>
        <v>0</v>
      </c>
      <c r="C9" s="132"/>
      <c r="D9" s="131" t="s">
        <v>433</v>
      </c>
    </row>
    <row r="10" spans="1:7" ht="14.25" customHeight="1">
      <c r="A10" s="6" t="s">
        <v>239</v>
      </c>
      <c r="B10" s="7">
        <v>0</v>
      </c>
      <c r="C10" s="130"/>
      <c r="D10" s="131"/>
    </row>
    <row r="11" spans="1:7" ht="14.25" customHeight="1">
      <c r="A11" s="6" t="s">
        <v>241</v>
      </c>
      <c r="B11" s="7">
        <v>0</v>
      </c>
      <c r="C11" s="130"/>
      <c r="D11" s="131" t="s">
        <v>242</v>
      </c>
    </row>
    <row r="12" spans="1:7" ht="14.25" customHeight="1">
      <c r="A12" s="6" t="s">
        <v>243</v>
      </c>
      <c r="B12" s="7">
        <v>0</v>
      </c>
      <c r="C12" s="130"/>
      <c r="D12" s="131"/>
    </row>
    <row r="13" spans="1:7" ht="14.25" customHeight="1">
      <c r="A13" s="6" t="s">
        <v>37</v>
      </c>
      <c r="B13" s="7">
        <v>0</v>
      </c>
      <c r="C13" s="132"/>
      <c r="D13" s="131"/>
    </row>
    <row r="14" spans="1:7" ht="14.25" customHeight="1">
      <c r="A14" s="6" t="s">
        <v>308</v>
      </c>
      <c r="B14" s="7">
        <v>0</v>
      </c>
      <c r="C14" s="132"/>
      <c r="D14" s="131"/>
    </row>
    <row r="15" spans="1:7" ht="14.25" customHeight="1">
      <c r="A15" s="6" t="s">
        <v>246</v>
      </c>
      <c r="B15" s="7">
        <v>6256</v>
      </c>
      <c r="C15" s="132">
        <f>B15</f>
        <v>6256</v>
      </c>
      <c r="D15" s="131" t="s">
        <v>434</v>
      </c>
    </row>
    <row r="16" spans="1:7" ht="14.25" customHeight="1">
      <c r="A16" s="6" t="s">
        <v>248</v>
      </c>
      <c r="B16" s="134">
        <v>0</v>
      </c>
      <c r="C16" s="135"/>
      <c r="D16" s="181"/>
    </row>
    <row r="17" spans="1:27" ht="14.25" customHeight="1">
      <c r="A17" s="6" t="s">
        <v>41</v>
      </c>
      <c r="B17" s="137">
        <f>SUM(B9:B16)</f>
        <v>6256</v>
      </c>
      <c r="C17" s="137">
        <f>SUM(C9:C15)</f>
        <v>6256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/>
      <c r="D21" s="131"/>
    </row>
    <row r="22" spans="1:27" ht="14.25" customHeight="1">
      <c r="A22" s="6" t="s">
        <v>250</v>
      </c>
      <c r="B22" s="7">
        <v>86.32</v>
      </c>
      <c r="C22" s="130">
        <v>200</v>
      </c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/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0">SUM(B21:B25)</f>
        <v>86.32</v>
      </c>
      <c r="C26" s="137">
        <f t="shared" si="0"/>
        <v>200</v>
      </c>
      <c r="D26" s="138"/>
    </row>
    <row r="27" spans="1:27" ht="14.25" customHeight="1">
      <c r="A27" s="6" t="s">
        <v>81</v>
      </c>
      <c r="B27" s="7"/>
      <c r="C27" s="130"/>
      <c r="D27" s="131"/>
    </row>
    <row r="28" spans="1:27" ht="14.25" customHeight="1">
      <c r="A28" s="6" t="s">
        <v>86</v>
      </c>
      <c r="B28" s="8">
        <v>90.81</v>
      </c>
      <c r="C28" s="139">
        <v>200</v>
      </c>
      <c r="D28" s="131"/>
    </row>
    <row r="29" spans="1:27" ht="14.25" customHeight="1">
      <c r="A29" s="6" t="s">
        <v>87</v>
      </c>
      <c r="B29" s="7">
        <v>0</v>
      </c>
      <c r="C29" s="130"/>
      <c r="D29" s="131"/>
    </row>
    <row r="30" spans="1:27" ht="14.25" customHeight="1">
      <c r="A30" s="167" t="s">
        <v>255</v>
      </c>
      <c r="B30" s="168">
        <v>0</v>
      </c>
      <c r="C30" s="34">
        <v>200</v>
      </c>
      <c r="D30" s="141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0</v>
      </c>
      <c r="C31" s="130">
        <v>500</v>
      </c>
      <c r="D31" s="131" t="s">
        <v>435</v>
      </c>
    </row>
    <row r="32" spans="1:27" ht="14.25" customHeight="1">
      <c r="A32" s="6" t="s">
        <v>294</v>
      </c>
      <c r="B32" s="8">
        <v>0</v>
      </c>
      <c r="C32" s="139"/>
      <c r="D32" s="131"/>
    </row>
    <row r="33" spans="1:4" ht="14.25" customHeight="1">
      <c r="A33" s="6" t="s">
        <v>92</v>
      </c>
      <c r="B33" s="7">
        <v>399</v>
      </c>
      <c r="C33" s="130">
        <v>1200</v>
      </c>
      <c r="D33" s="131" t="s">
        <v>436</v>
      </c>
    </row>
    <row r="34" spans="1:4" ht="14.25" customHeight="1">
      <c r="A34" s="6" t="s">
        <v>259</v>
      </c>
      <c r="B34" s="7"/>
      <c r="C34" s="130"/>
      <c r="D34" s="131" t="s">
        <v>260</v>
      </c>
    </row>
    <row r="35" spans="1:4" ht="14.25" customHeight="1">
      <c r="A35" s="6" t="s">
        <v>261</v>
      </c>
      <c r="B35" s="7"/>
      <c r="C35" s="130">
        <f>35*F6</f>
        <v>875</v>
      </c>
      <c r="D35" s="131" t="s">
        <v>262</v>
      </c>
    </row>
    <row r="36" spans="1:4" ht="14.25" customHeight="1">
      <c r="A36" s="6" t="s">
        <v>263</v>
      </c>
      <c r="B36" s="7">
        <v>2294.8200000000002</v>
      </c>
      <c r="C36" s="130">
        <v>2374</v>
      </c>
      <c r="D36" s="131" t="s">
        <v>437</v>
      </c>
    </row>
    <row r="37" spans="1:4" ht="14.25" customHeight="1">
      <c r="A37" s="6" t="s">
        <v>265</v>
      </c>
      <c r="B37" s="7">
        <v>240.69</v>
      </c>
      <c r="C37" s="130">
        <v>400</v>
      </c>
      <c r="D37" s="131"/>
    </row>
    <row r="38" spans="1:4" ht="14.25" customHeight="1">
      <c r="A38" s="6" t="s">
        <v>104</v>
      </c>
      <c r="B38" s="7">
        <v>0</v>
      </c>
      <c r="C38" s="130"/>
      <c r="D38" s="131"/>
    </row>
    <row r="39" spans="1:4" ht="14.25" customHeight="1">
      <c r="A39" s="6" t="s">
        <v>105</v>
      </c>
      <c r="B39" s="7">
        <v>0</v>
      </c>
      <c r="C39" s="130"/>
      <c r="D39" s="131"/>
    </row>
    <row r="40" spans="1:4" ht="14.25" customHeight="1">
      <c r="A40" s="6" t="s">
        <v>107</v>
      </c>
      <c r="B40" s="7">
        <v>0</v>
      </c>
      <c r="C40" s="130"/>
      <c r="D40" s="131" t="s">
        <v>438</v>
      </c>
    </row>
    <row r="41" spans="1:4" ht="14.25" customHeight="1">
      <c r="A41" s="6" t="s">
        <v>108</v>
      </c>
      <c r="B41" s="7">
        <v>1084</v>
      </c>
      <c r="C41" s="130">
        <v>1500</v>
      </c>
      <c r="D41" s="131"/>
    </row>
    <row r="42" spans="1:4" ht="14.25" customHeight="1">
      <c r="A42" s="6" t="s">
        <v>109</v>
      </c>
      <c r="B42" s="137">
        <f t="shared" ref="B42:C42" si="1">SUM(B27:B41)</f>
        <v>4109.32</v>
      </c>
      <c r="C42" s="137">
        <f t="shared" si="1"/>
        <v>7249</v>
      </c>
      <c r="D42" s="138"/>
    </row>
    <row r="43" spans="1:4" ht="14.25" customHeight="1">
      <c r="A43" s="6" t="s">
        <v>110</v>
      </c>
      <c r="B43" s="137">
        <f t="shared" ref="B43:C43" si="2">B42+B26</f>
        <v>4195.6399999999994</v>
      </c>
      <c r="C43" s="137">
        <f t="shared" si="2"/>
        <v>7449</v>
      </c>
      <c r="D43" s="138"/>
    </row>
    <row r="44" spans="1:4" ht="14.25" customHeight="1">
      <c r="A44" s="6"/>
      <c r="B44" s="137"/>
      <c r="C44" s="137"/>
      <c r="D44" s="138"/>
    </row>
    <row r="45" spans="1:4" ht="14.25" customHeight="1">
      <c r="A45" s="6" t="s">
        <v>270</v>
      </c>
      <c r="B45" s="7"/>
      <c r="C45" s="130"/>
      <c r="D45" s="131"/>
    </row>
    <row r="46" spans="1:4" ht="14.25" customHeight="1">
      <c r="A46" s="6" t="s">
        <v>271</v>
      </c>
      <c r="B46" s="7">
        <v>0</v>
      </c>
      <c r="C46" s="130"/>
    </row>
    <row r="47" spans="1:4" ht="14.25" customHeight="1">
      <c r="A47" s="6" t="s">
        <v>272</v>
      </c>
      <c r="B47" s="147">
        <v>0</v>
      </c>
      <c r="C47" s="130"/>
      <c r="D47" s="131"/>
    </row>
    <row r="48" spans="1:4" ht="14.25" customHeight="1">
      <c r="A48" s="6" t="s">
        <v>116</v>
      </c>
      <c r="B48" s="137">
        <f>(B46)+(B47)+B45</f>
        <v>0</v>
      </c>
      <c r="C48" s="137">
        <f>(C46)+(C47)</f>
        <v>0</v>
      </c>
      <c r="D48" s="138"/>
    </row>
    <row r="49" spans="1:4" ht="14.25" customHeight="1">
      <c r="A49" s="6" t="s">
        <v>273</v>
      </c>
      <c r="B49" s="7">
        <v>0</v>
      </c>
      <c r="C49" s="130"/>
      <c r="D49" s="131"/>
    </row>
    <row r="50" spans="1:4" ht="14.25" customHeight="1">
      <c r="A50" s="6" t="s">
        <v>274</v>
      </c>
      <c r="B50" s="7">
        <f>635.73+325.5</f>
        <v>961.23</v>
      </c>
      <c r="C50" s="130">
        <f t="shared" ref="C50:C51" si="3">B50</f>
        <v>961.23</v>
      </c>
      <c r="D50" s="131" t="s">
        <v>439</v>
      </c>
    </row>
    <row r="51" spans="1:4" ht="14.25" customHeight="1">
      <c r="A51" s="6" t="s">
        <v>276</v>
      </c>
      <c r="B51" s="147">
        <f>258.93+485.21</f>
        <v>744.14</v>
      </c>
      <c r="C51" s="130">
        <f t="shared" si="3"/>
        <v>744.14</v>
      </c>
      <c r="D51" s="131"/>
    </row>
    <row r="52" spans="1:4" ht="14.25" customHeight="1">
      <c r="A52" s="6" t="s">
        <v>277</v>
      </c>
      <c r="B52" s="137">
        <f t="shared" ref="B52:C52" si="4">(B50)+(B51)</f>
        <v>1705.37</v>
      </c>
      <c r="C52" s="137">
        <f t="shared" si="4"/>
        <v>1705.37</v>
      </c>
      <c r="D52" s="138"/>
    </row>
    <row r="53" spans="1:4" ht="14.25" customHeight="1">
      <c r="A53" s="6" t="s">
        <v>278</v>
      </c>
      <c r="B53" s="137">
        <f t="shared" ref="B53:C53" si="5">B48-B52</f>
        <v>-1705.37</v>
      </c>
      <c r="C53" s="137">
        <f t="shared" si="5"/>
        <v>-1705.37</v>
      </c>
      <c r="D53" s="138"/>
    </row>
    <row r="54" spans="1:4" ht="14.25" customHeight="1">
      <c r="A54" s="6" t="s">
        <v>279</v>
      </c>
      <c r="B54" s="137">
        <f t="shared" ref="B54:C54" si="6">B17-B43+B53</f>
        <v>354.99000000000069</v>
      </c>
      <c r="C54" s="137">
        <f t="shared" si="6"/>
        <v>-2898.37</v>
      </c>
      <c r="D54" s="138"/>
    </row>
    <row r="55" spans="1:4" ht="14.25" customHeight="1">
      <c r="A55" s="6"/>
      <c r="B55" s="7"/>
      <c r="C55" s="130"/>
      <c r="D55" s="131"/>
    </row>
    <row r="56" spans="1:4" ht="14.25" customHeight="1">
      <c r="A56" s="24" t="s">
        <v>280</v>
      </c>
      <c r="B56" s="15"/>
      <c r="C56" s="148">
        <f>C36+C35</f>
        <v>3249</v>
      </c>
      <c r="D56" s="149" t="s">
        <v>342</v>
      </c>
    </row>
    <row r="57" spans="1:4" ht="14.25" customHeight="1">
      <c r="A57" s="24" t="s">
        <v>343</v>
      </c>
      <c r="B57" s="15"/>
      <c r="C57" s="148">
        <f>C54+C56</f>
        <v>350.63000000000011</v>
      </c>
      <c r="D57" s="149"/>
    </row>
    <row r="58" spans="1:4" ht="14.25" customHeight="1">
      <c r="B58" s="15"/>
      <c r="C58" s="42"/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122"/>
      <c r="D61" s="149"/>
    </row>
    <row r="62" spans="1:4" ht="14.25" customHeight="1">
      <c r="A62" s="150" t="s">
        <v>283</v>
      </c>
      <c r="B62" s="151"/>
      <c r="C62" s="152"/>
      <c r="D62" s="153"/>
    </row>
    <row r="63" spans="1:4" ht="14.25" customHeight="1">
      <c r="A63" s="154" t="s">
        <v>229</v>
      </c>
      <c r="B63" s="17"/>
      <c r="C63" s="155">
        <v>2969</v>
      </c>
      <c r="D63" s="153"/>
    </row>
    <row r="64" spans="1:4" ht="14.25" customHeight="1">
      <c r="A64" s="156" t="s">
        <v>284</v>
      </c>
      <c r="B64" s="157"/>
      <c r="C64" s="158">
        <v>2374</v>
      </c>
      <c r="D64" s="153"/>
    </row>
    <row r="65" spans="2:4" ht="14.25" customHeight="1">
      <c r="B65" s="15"/>
      <c r="C65" s="40"/>
      <c r="D65" s="149"/>
    </row>
    <row r="66" spans="2:4" ht="14.25" customHeight="1">
      <c r="D66" s="109"/>
    </row>
    <row r="67" spans="2:4" ht="14.25" customHeight="1">
      <c r="D67" s="109"/>
    </row>
    <row r="68" spans="2:4" ht="14.25" customHeight="1">
      <c r="D68" s="109"/>
    </row>
    <row r="69" spans="2:4" ht="14.25" customHeight="1">
      <c r="D69" s="109"/>
    </row>
    <row r="70" spans="2:4" ht="14.25" customHeight="1">
      <c r="D70" s="109"/>
    </row>
    <row r="71" spans="2:4" ht="14.25" customHeight="1">
      <c r="D71" s="109"/>
    </row>
    <row r="72" spans="2:4" ht="14.25" customHeight="1">
      <c r="D72" s="109"/>
    </row>
    <row r="73" spans="2:4" ht="14.25" customHeight="1">
      <c r="D73" s="109"/>
    </row>
    <row r="74" spans="2:4" ht="14.25" customHeight="1">
      <c r="D74" s="109"/>
    </row>
    <row r="75" spans="2:4" ht="14.25" customHeight="1">
      <c r="D75" s="109"/>
    </row>
    <row r="76" spans="2:4" ht="14.25" customHeight="1">
      <c r="D76" s="109"/>
    </row>
    <row r="77" spans="2:4" ht="14.25" customHeight="1">
      <c r="D77" s="109"/>
    </row>
    <row r="78" spans="2:4" ht="14.25" customHeight="1">
      <c r="D78" s="109"/>
    </row>
    <row r="79" spans="2:4" ht="14.25" customHeight="1">
      <c r="D79" s="109"/>
    </row>
    <row r="80" spans="2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/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97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3" width="11.5703125" customWidth="1"/>
    <col min="4" max="4" width="46.8554687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189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v>0</v>
      </c>
      <c r="C2" s="15"/>
      <c r="D2" s="115" t="s">
        <v>440</v>
      </c>
      <c r="E2" s="116" t="s">
        <v>229</v>
      </c>
      <c r="F2" s="117">
        <v>12</v>
      </c>
      <c r="G2" s="118" t="s">
        <v>230</v>
      </c>
    </row>
    <row r="3" spans="1:7" ht="14.25" customHeight="1">
      <c r="B3" s="108"/>
      <c r="C3" s="15"/>
      <c r="D3" s="162" t="s">
        <v>441</v>
      </c>
      <c r="E3" s="116" t="s">
        <v>417</v>
      </c>
      <c r="F3" s="120"/>
      <c r="G3" s="118" t="s">
        <v>230</v>
      </c>
    </row>
    <row r="4" spans="1:7" ht="14.25" customHeight="1">
      <c r="B4" s="108"/>
      <c r="C4" s="15"/>
      <c r="D4" s="25"/>
      <c r="E4" s="116" t="s">
        <v>233</v>
      </c>
      <c r="F4" s="117">
        <f>SUM(F2:F3)</f>
        <v>12</v>
      </c>
      <c r="G4" s="118"/>
    </row>
    <row r="5" spans="1:7" ht="14.25" customHeight="1">
      <c r="B5" s="108"/>
      <c r="C5" s="15"/>
      <c r="D5" s="109"/>
      <c r="E5" s="116"/>
      <c r="G5" s="118"/>
    </row>
    <row r="6" spans="1:7" ht="14.25" customHeight="1">
      <c r="B6" s="121"/>
      <c r="C6" s="122"/>
      <c r="D6" s="123"/>
      <c r="E6" s="124" t="s">
        <v>234</v>
      </c>
      <c r="F6" s="125">
        <v>4</v>
      </c>
      <c r="G6" s="126" t="s">
        <v>235</v>
      </c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>
        <v>0</v>
      </c>
      <c r="C9" s="132"/>
      <c r="D9" s="131" t="s">
        <v>442</v>
      </c>
    </row>
    <row r="10" spans="1:7" ht="14.25" customHeight="1">
      <c r="A10" s="6" t="s">
        <v>239</v>
      </c>
      <c r="B10" s="7">
        <v>0</v>
      </c>
      <c r="C10" s="130"/>
      <c r="D10" s="131"/>
    </row>
    <row r="11" spans="1:7" ht="14.25" customHeight="1">
      <c r="A11" s="6" t="s">
        <v>241</v>
      </c>
      <c r="B11" s="7">
        <v>0</v>
      </c>
      <c r="C11" s="130"/>
      <c r="D11" s="131" t="s">
        <v>242</v>
      </c>
    </row>
    <row r="12" spans="1:7" ht="14.25" customHeight="1">
      <c r="A12" s="6" t="s">
        <v>243</v>
      </c>
      <c r="B12" s="7">
        <v>0</v>
      </c>
      <c r="C12" s="130"/>
      <c r="D12" s="131"/>
    </row>
    <row r="13" spans="1:7" ht="14.25" customHeight="1">
      <c r="A13" s="6" t="s">
        <v>37</v>
      </c>
      <c r="B13" s="7">
        <v>0</v>
      </c>
      <c r="C13" s="132"/>
      <c r="D13" s="131"/>
    </row>
    <row r="14" spans="1:7" ht="14.25" customHeight="1">
      <c r="A14" s="6" t="s">
        <v>308</v>
      </c>
      <c r="B14" s="7">
        <v>0</v>
      </c>
      <c r="C14" s="132"/>
      <c r="D14" s="131"/>
    </row>
    <row r="15" spans="1:7" ht="14.25" customHeight="1">
      <c r="A15" s="6" t="s">
        <v>246</v>
      </c>
      <c r="B15" s="7">
        <v>0</v>
      </c>
      <c r="C15" s="132">
        <f>B15</f>
        <v>0</v>
      </c>
      <c r="D15" s="131" t="s">
        <v>434</v>
      </c>
    </row>
    <row r="16" spans="1:7" ht="14.25" customHeight="1">
      <c r="A16" s="6" t="s">
        <v>248</v>
      </c>
      <c r="B16" s="134">
        <v>0</v>
      </c>
      <c r="C16" s="135"/>
      <c r="D16" s="181"/>
    </row>
    <row r="17" spans="1:27" ht="14.25" customHeight="1">
      <c r="A17" s="6" t="s">
        <v>41</v>
      </c>
      <c r="B17" s="137">
        <f>SUM(B9:B16)</f>
        <v>0</v>
      </c>
      <c r="C17" s="137">
        <f>SUM(C9:C15)</f>
        <v>0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/>
      <c r="D21" s="131"/>
    </row>
    <row r="22" spans="1:27" ht="14.25" customHeight="1">
      <c r="A22" s="6" t="s">
        <v>250</v>
      </c>
      <c r="B22" s="7">
        <v>0</v>
      </c>
      <c r="C22" s="130"/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/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0">SUM(B21:B25)</f>
        <v>0</v>
      </c>
      <c r="C26" s="137">
        <f t="shared" si="0"/>
        <v>0</v>
      </c>
      <c r="D26" s="138"/>
    </row>
    <row r="27" spans="1:27" ht="14.25" customHeight="1">
      <c r="A27" s="6" t="s">
        <v>81</v>
      </c>
      <c r="B27" s="7"/>
      <c r="C27" s="130"/>
      <c r="D27" s="131"/>
    </row>
    <row r="28" spans="1:27" ht="14.25" customHeight="1">
      <c r="A28" s="6" t="s">
        <v>86</v>
      </c>
      <c r="B28" s="8">
        <v>0</v>
      </c>
      <c r="C28" s="139"/>
      <c r="D28" s="131"/>
    </row>
    <row r="29" spans="1:27" ht="14.25" customHeight="1">
      <c r="A29" s="6" t="s">
        <v>87</v>
      </c>
      <c r="B29" s="7">
        <v>0</v>
      </c>
      <c r="C29" s="130"/>
      <c r="D29" s="131"/>
    </row>
    <row r="30" spans="1:27" ht="14.25" customHeight="1">
      <c r="A30" s="167" t="s">
        <v>255</v>
      </c>
      <c r="B30" s="168">
        <v>0</v>
      </c>
      <c r="C30" s="34"/>
      <c r="D30" s="141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0</v>
      </c>
      <c r="C31" s="130"/>
      <c r="D31" s="131" t="s">
        <v>435</v>
      </c>
    </row>
    <row r="32" spans="1:27" ht="14.25" customHeight="1">
      <c r="A32" s="6" t="s">
        <v>294</v>
      </c>
      <c r="B32" s="8">
        <v>0</v>
      </c>
      <c r="C32" s="139"/>
      <c r="D32" s="131"/>
    </row>
    <row r="33" spans="1:4" ht="14.25" customHeight="1">
      <c r="A33" s="6" t="s">
        <v>92</v>
      </c>
      <c r="B33" s="7">
        <v>0</v>
      </c>
      <c r="C33" s="130"/>
      <c r="D33" s="131" t="s">
        <v>436</v>
      </c>
    </row>
    <row r="34" spans="1:4" ht="14.25" customHeight="1">
      <c r="A34" s="6" t="s">
        <v>259</v>
      </c>
      <c r="B34" s="7"/>
      <c r="C34" s="130"/>
      <c r="D34" s="131" t="s">
        <v>260</v>
      </c>
    </row>
    <row r="35" spans="1:4" ht="14.25" customHeight="1">
      <c r="A35" s="6" t="s">
        <v>261</v>
      </c>
      <c r="B35" s="7"/>
      <c r="C35" s="130">
        <f>35*F6</f>
        <v>140</v>
      </c>
      <c r="D35" s="131" t="s">
        <v>262</v>
      </c>
    </row>
    <row r="36" spans="1:4" ht="14.25" customHeight="1">
      <c r="A36" s="6" t="s">
        <v>263</v>
      </c>
      <c r="B36" s="7">
        <v>0</v>
      </c>
      <c r="C36" s="130">
        <v>2374</v>
      </c>
      <c r="D36" s="131" t="s">
        <v>443</v>
      </c>
    </row>
    <row r="37" spans="1:4" ht="14.25" customHeight="1">
      <c r="A37" s="6" t="s">
        <v>265</v>
      </c>
      <c r="B37" s="7">
        <v>0</v>
      </c>
      <c r="C37" s="130"/>
      <c r="D37" s="131"/>
    </row>
    <row r="38" spans="1:4" ht="14.25" customHeight="1">
      <c r="A38" s="6" t="s">
        <v>104</v>
      </c>
      <c r="B38" s="7">
        <v>0</v>
      </c>
      <c r="C38" s="130"/>
      <c r="D38" s="131"/>
    </row>
    <row r="39" spans="1:4" ht="14.25" customHeight="1">
      <c r="A39" s="6" t="s">
        <v>105</v>
      </c>
      <c r="B39" s="7">
        <v>0</v>
      </c>
      <c r="C39" s="130"/>
      <c r="D39" s="131"/>
    </row>
    <row r="40" spans="1:4" ht="14.25" customHeight="1">
      <c r="A40" s="6" t="s">
        <v>107</v>
      </c>
      <c r="B40" s="7">
        <v>0</v>
      </c>
      <c r="C40" s="130"/>
      <c r="D40" s="131" t="s">
        <v>438</v>
      </c>
    </row>
    <row r="41" spans="1:4" ht="14.25" customHeight="1">
      <c r="A41" s="6" t="s">
        <v>108</v>
      </c>
      <c r="B41" s="7">
        <v>0</v>
      </c>
      <c r="C41" s="130"/>
      <c r="D41" s="131"/>
    </row>
    <row r="42" spans="1:4" ht="14.25" customHeight="1">
      <c r="A42" s="6" t="s">
        <v>109</v>
      </c>
      <c r="B42" s="137">
        <f t="shared" ref="B42:C42" si="1">SUM(B27:B41)</f>
        <v>0</v>
      </c>
      <c r="C42" s="137">
        <f t="shared" si="1"/>
        <v>2514</v>
      </c>
      <c r="D42" s="138"/>
    </row>
    <row r="43" spans="1:4" ht="14.25" customHeight="1">
      <c r="A43" s="6" t="s">
        <v>110</v>
      </c>
      <c r="B43" s="137">
        <f t="shared" ref="B43:C43" si="2">B42+B26</f>
        <v>0</v>
      </c>
      <c r="C43" s="137">
        <f t="shared" si="2"/>
        <v>2514</v>
      </c>
      <c r="D43" s="138"/>
    </row>
    <row r="44" spans="1:4" ht="14.25" customHeight="1">
      <c r="A44" s="6"/>
      <c r="B44" s="137"/>
      <c r="C44" s="137"/>
      <c r="D44" s="138"/>
    </row>
    <row r="45" spans="1:4" ht="14.25" customHeight="1">
      <c r="A45" s="6" t="s">
        <v>270</v>
      </c>
      <c r="B45" s="7"/>
      <c r="C45" s="130"/>
      <c r="D45" s="131"/>
    </row>
    <row r="46" spans="1:4" ht="14.25" customHeight="1">
      <c r="A46" s="6" t="s">
        <v>271</v>
      </c>
      <c r="B46" s="7">
        <v>0</v>
      </c>
      <c r="C46" s="130"/>
    </row>
    <row r="47" spans="1:4" ht="14.25" customHeight="1">
      <c r="A47" s="6" t="s">
        <v>272</v>
      </c>
      <c r="B47" s="147">
        <v>0</v>
      </c>
      <c r="C47" s="130"/>
      <c r="D47" s="131"/>
    </row>
    <row r="48" spans="1:4" ht="14.25" customHeight="1">
      <c r="A48" s="6" t="s">
        <v>116</v>
      </c>
      <c r="B48" s="137">
        <f>(B46)+(B47)+B45</f>
        <v>0</v>
      </c>
      <c r="C48" s="137">
        <f>(C46)+(C47)</f>
        <v>0</v>
      </c>
      <c r="D48" s="138"/>
    </row>
    <row r="49" spans="1:4" ht="14.25" customHeight="1">
      <c r="A49" s="6" t="s">
        <v>273</v>
      </c>
      <c r="B49" s="7">
        <v>0</v>
      </c>
      <c r="C49" s="130"/>
      <c r="D49" s="131"/>
    </row>
    <row r="50" spans="1:4" ht="14.25" customHeight="1">
      <c r="A50" s="6" t="s">
        <v>274</v>
      </c>
      <c r="B50" s="7">
        <v>0</v>
      </c>
      <c r="C50" s="130">
        <f t="shared" ref="C50:C51" si="3">B50</f>
        <v>0</v>
      </c>
      <c r="D50" s="131" t="s">
        <v>439</v>
      </c>
    </row>
    <row r="51" spans="1:4" ht="14.25" customHeight="1">
      <c r="A51" s="6" t="s">
        <v>276</v>
      </c>
      <c r="B51" s="147">
        <v>0</v>
      </c>
      <c r="C51" s="130">
        <f t="shared" si="3"/>
        <v>0</v>
      </c>
      <c r="D51" s="131"/>
    </row>
    <row r="52" spans="1:4" ht="14.25" customHeight="1">
      <c r="A52" s="6" t="s">
        <v>277</v>
      </c>
      <c r="B52" s="137">
        <f t="shared" ref="B52:C52" si="4">(B50)+(B51)</f>
        <v>0</v>
      </c>
      <c r="C52" s="137">
        <f t="shared" si="4"/>
        <v>0</v>
      </c>
      <c r="D52" s="138"/>
    </row>
    <row r="53" spans="1:4" ht="14.25" customHeight="1">
      <c r="A53" s="6" t="s">
        <v>278</v>
      </c>
      <c r="B53" s="137">
        <f t="shared" ref="B53:C53" si="5">B48-B52</f>
        <v>0</v>
      </c>
      <c r="C53" s="137">
        <f t="shared" si="5"/>
        <v>0</v>
      </c>
      <c r="D53" s="138"/>
    </row>
    <row r="54" spans="1:4" ht="14.25" customHeight="1">
      <c r="A54" s="6" t="s">
        <v>279</v>
      </c>
      <c r="B54" s="137">
        <f t="shared" ref="B54:C54" si="6">B17-B43+B53</f>
        <v>0</v>
      </c>
      <c r="C54" s="137">
        <f t="shared" si="6"/>
        <v>-2514</v>
      </c>
      <c r="D54" s="138"/>
    </row>
    <row r="55" spans="1:4" ht="14.25" customHeight="1">
      <c r="A55" s="6"/>
      <c r="B55" s="7"/>
      <c r="C55" s="130"/>
      <c r="D55" s="131"/>
    </row>
    <row r="56" spans="1:4" ht="14.25" customHeight="1">
      <c r="A56" s="24" t="s">
        <v>280</v>
      </c>
      <c r="B56" s="15"/>
      <c r="C56" s="148">
        <f>C36+C35</f>
        <v>2514</v>
      </c>
      <c r="D56" s="149" t="s">
        <v>342</v>
      </c>
    </row>
    <row r="57" spans="1:4" ht="14.25" customHeight="1">
      <c r="A57" s="24" t="s">
        <v>343</v>
      </c>
      <c r="B57" s="15"/>
      <c r="C57" s="148">
        <f>C54+C56</f>
        <v>0</v>
      </c>
      <c r="D57" s="149"/>
    </row>
    <row r="58" spans="1:4" ht="14.25" customHeight="1">
      <c r="B58" s="15"/>
      <c r="C58" s="42"/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122"/>
      <c r="D61" s="149"/>
    </row>
    <row r="62" spans="1:4" ht="14.25" customHeight="1">
      <c r="A62" s="150" t="s">
        <v>283</v>
      </c>
      <c r="B62" s="151"/>
      <c r="C62" s="152"/>
      <c r="D62" s="153"/>
    </row>
    <row r="63" spans="1:4" ht="14.25" customHeight="1">
      <c r="A63" s="154" t="s">
        <v>229</v>
      </c>
      <c r="B63" s="17"/>
      <c r="C63" s="155">
        <v>2969</v>
      </c>
      <c r="D63" s="153"/>
    </row>
    <row r="64" spans="1:4" ht="14.25" customHeight="1">
      <c r="A64" s="156" t="s">
        <v>284</v>
      </c>
      <c r="B64" s="157"/>
      <c r="C64" s="158">
        <v>2374</v>
      </c>
      <c r="D64" s="153"/>
    </row>
    <row r="65" spans="2:4" ht="14.25" customHeight="1">
      <c r="B65" s="15"/>
      <c r="C65" s="40"/>
      <c r="D65" s="149"/>
    </row>
    <row r="66" spans="2:4" ht="14.25" customHeight="1">
      <c r="D66" s="109"/>
    </row>
    <row r="67" spans="2:4" ht="14.25" customHeight="1">
      <c r="D67" s="109"/>
    </row>
    <row r="68" spans="2:4" ht="14.25" customHeight="1">
      <c r="D68" s="109"/>
    </row>
    <row r="69" spans="2:4" ht="14.25" customHeight="1">
      <c r="D69" s="109"/>
    </row>
    <row r="70" spans="2:4" ht="14.25" customHeight="1">
      <c r="D70" s="109"/>
    </row>
    <row r="71" spans="2:4" ht="14.25" customHeight="1">
      <c r="D71" s="109"/>
    </row>
    <row r="72" spans="2:4" ht="14.25" customHeight="1">
      <c r="D72" s="109"/>
    </row>
    <row r="73" spans="2:4" ht="14.25" customHeight="1">
      <c r="D73" s="109"/>
    </row>
    <row r="74" spans="2:4" ht="14.25" customHeight="1">
      <c r="D74" s="109"/>
    </row>
    <row r="75" spans="2:4" ht="14.25" customHeight="1">
      <c r="D75" s="109"/>
    </row>
    <row r="76" spans="2:4" ht="14.25" customHeight="1">
      <c r="D76" s="109"/>
    </row>
    <row r="77" spans="2:4" ht="14.25" customHeight="1">
      <c r="D77" s="109"/>
    </row>
    <row r="78" spans="2:4" ht="14.25" customHeight="1">
      <c r="D78" s="109"/>
    </row>
    <row r="79" spans="2:4" ht="14.25" customHeight="1">
      <c r="D79" s="109"/>
    </row>
    <row r="80" spans="2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/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</sheetData>
  <pageMargins left="0.7" right="0.7" top="0.75" bottom="0.75" header="0" footer="0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A97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3" width="13.28515625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444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v>1970.63</v>
      </c>
      <c r="C2" s="15"/>
      <c r="D2" s="115" t="s">
        <v>445</v>
      </c>
      <c r="E2" s="116" t="s">
        <v>229</v>
      </c>
      <c r="F2" s="117">
        <v>22</v>
      </c>
      <c r="G2" s="118" t="s">
        <v>230</v>
      </c>
    </row>
    <row r="3" spans="1:7" ht="14.25" customHeight="1">
      <c r="B3" s="108"/>
      <c r="C3" s="15"/>
      <c r="D3" s="115" t="s">
        <v>446</v>
      </c>
      <c r="E3" s="116" t="s">
        <v>417</v>
      </c>
      <c r="F3" s="120">
        <v>0</v>
      </c>
      <c r="G3" s="118" t="s">
        <v>230</v>
      </c>
    </row>
    <row r="4" spans="1:7" ht="14.25" customHeight="1">
      <c r="B4" s="108"/>
      <c r="C4" s="15"/>
      <c r="D4" s="160" t="s">
        <v>288</v>
      </c>
      <c r="E4" s="116" t="s">
        <v>233</v>
      </c>
      <c r="F4" s="117">
        <f>SUM(F2:F3)</f>
        <v>22</v>
      </c>
      <c r="G4" s="118"/>
    </row>
    <row r="5" spans="1:7" ht="14.25" customHeight="1">
      <c r="A5" s="24" t="s">
        <v>447</v>
      </c>
      <c r="B5" s="108"/>
      <c r="C5" s="15"/>
      <c r="D5" s="119"/>
      <c r="E5" s="116"/>
      <c r="G5" s="118"/>
    </row>
    <row r="6" spans="1:7" ht="14.25" customHeight="1">
      <c r="B6" s="121"/>
      <c r="C6" s="122"/>
      <c r="D6" s="178"/>
      <c r="E6" s="124" t="s">
        <v>234</v>
      </c>
      <c r="F6" s="125">
        <f>6</f>
        <v>6</v>
      </c>
      <c r="G6" s="126" t="s">
        <v>235</v>
      </c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>
        <v>1511.8</v>
      </c>
      <c r="C9" s="132">
        <v>1600</v>
      </c>
      <c r="D9" s="131" t="s">
        <v>448</v>
      </c>
    </row>
    <row r="10" spans="1:7" ht="14.25" customHeight="1">
      <c r="A10" s="6" t="s">
        <v>239</v>
      </c>
      <c r="B10" s="7">
        <v>0</v>
      </c>
      <c r="C10" s="130"/>
      <c r="D10" s="131"/>
    </row>
    <row r="11" spans="1:7" ht="14.25" customHeight="1">
      <c r="A11" s="6" t="s">
        <v>241</v>
      </c>
      <c r="B11" s="7">
        <v>207</v>
      </c>
      <c r="C11" s="130">
        <v>200</v>
      </c>
      <c r="D11" s="131" t="s">
        <v>242</v>
      </c>
    </row>
    <row r="12" spans="1:7" ht="14.25" customHeight="1">
      <c r="A12" s="6" t="s">
        <v>243</v>
      </c>
      <c r="B12" s="7">
        <v>0</v>
      </c>
      <c r="C12" s="130"/>
      <c r="D12" s="131"/>
    </row>
    <row r="13" spans="1:7" ht="14.25" customHeight="1">
      <c r="A13" s="6" t="s">
        <v>37</v>
      </c>
      <c r="B13" s="7">
        <v>0</v>
      </c>
      <c r="C13" s="132"/>
      <c r="D13" s="131"/>
    </row>
    <row r="14" spans="1:7" ht="14.25" customHeight="1">
      <c r="A14" s="6" t="s">
        <v>308</v>
      </c>
      <c r="B14" s="7">
        <v>0</v>
      </c>
      <c r="C14" s="132"/>
      <c r="D14" s="131"/>
    </row>
    <row r="15" spans="1:7" ht="14.25" customHeight="1">
      <c r="A15" s="6" t="s">
        <v>246</v>
      </c>
      <c r="B15" s="7">
        <v>0</v>
      </c>
      <c r="C15" s="132"/>
      <c r="D15" s="131"/>
    </row>
    <row r="16" spans="1:7" ht="14.25" customHeight="1">
      <c r="A16" s="6" t="s">
        <v>248</v>
      </c>
      <c r="B16" s="134">
        <v>0</v>
      </c>
      <c r="C16" s="180">
        <v>1500</v>
      </c>
      <c r="D16" s="181" t="s">
        <v>338</v>
      </c>
    </row>
    <row r="17" spans="1:27" ht="14.25" customHeight="1">
      <c r="A17" s="6" t="s">
        <v>41</v>
      </c>
      <c r="B17" s="137">
        <f t="shared" ref="B17:C17" si="0">SUM(B9:B16)</f>
        <v>1718.8</v>
      </c>
      <c r="C17" s="137">
        <f t="shared" si="0"/>
        <v>3300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>
        <v>200</v>
      </c>
      <c r="D21" s="131"/>
    </row>
    <row r="22" spans="1:27" ht="14.25" customHeight="1">
      <c r="A22" s="6" t="s">
        <v>250</v>
      </c>
      <c r="B22" s="7">
        <v>0</v>
      </c>
      <c r="C22" s="130"/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/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1">SUM(B21:B25)</f>
        <v>0</v>
      </c>
      <c r="C26" s="137">
        <f t="shared" si="1"/>
        <v>200</v>
      </c>
      <c r="D26" s="138"/>
    </row>
    <row r="27" spans="1:27" ht="14.25" customHeight="1">
      <c r="A27" s="6" t="s">
        <v>81</v>
      </c>
      <c r="B27" s="7"/>
      <c r="C27" s="130"/>
      <c r="D27" s="131"/>
    </row>
    <row r="28" spans="1:27" ht="14.25" customHeight="1">
      <c r="A28" s="6" t="s">
        <v>86</v>
      </c>
      <c r="B28" s="8">
        <v>865.55</v>
      </c>
      <c r="C28" s="139">
        <v>600</v>
      </c>
      <c r="D28" s="201" t="s">
        <v>449</v>
      </c>
    </row>
    <row r="29" spans="1:27" ht="14.25" customHeight="1">
      <c r="A29" s="6" t="s">
        <v>87</v>
      </c>
      <c r="B29" s="7">
        <v>0</v>
      </c>
      <c r="C29" s="130">
        <v>1000</v>
      </c>
      <c r="D29" s="202" t="s">
        <v>450</v>
      </c>
    </row>
    <row r="30" spans="1:27" ht="14.25" customHeight="1">
      <c r="A30" s="167" t="s">
        <v>255</v>
      </c>
      <c r="B30" s="168">
        <v>0</v>
      </c>
      <c r="C30" s="34">
        <v>175</v>
      </c>
      <c r="D30" s="142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166.22</v>
      </c>
      <c r="C31" s="130"/>
      <c r="D31" s="142"/>
    </row>
    <row r="32" spans="1:27" ht="14.25" customHeight="1">
      <c r="A32" s="6" t="s">
        <v>294</v>
      </c>
      <c r="B32" s="8">
        <v>0</v>
      </c>
      <c r="C32" s="139">
        <v>150</v>
      </c>
      <c r="D32" s="141" t="s">
        <v>451</v>
      </c>
    </row>
    <row r="33" spans="1:4" ht="14.25" customHeight="1">
      <c r="A33" s="6" t="s">
        <v>92</v>
      </c>
      <c r="B33" s="7">
        <f>27.99+123.63</f>
        <v>151.62</v>
      </c>
      <c r="C33" s="130"/>
      <c r="D33" s="142"/>
    </row>
    <row r="34" spans="1:4" ht="14.25" customHeight="1">
      <c r="A34" s="6" t="s">
        <v>259</v>
      </c>
      <c r="B34" s="7"/>
      <c r="C34" s="130">
        <v>150</v>
      </c>
      <c r="D34" s="144" t="s">
        <v>260</v>
      </c>
    </row>
    <row r="35" spans="1:4" ht="14.25" customHeight="1">
      <c r="A35" s="6" t="s">
        <v>261</v>
      </c>
      <c r="B35" s="7"/>
      <c r="C35" s="130">
        <f>35*F6</f>
        <v>210</v>
      </c>
      <c r="D35" s="131" t="s">
        <v>262</v>
      </c>
    </row>
    <row r="36" spans="1:4" ht="14.25" customHeight="1">
      <c r="A36" s="6" t="s">
        <v>263</v>
      </c>
      <c r="B36" s="7">
        <v>0</v>
      </c>
      <c r="C36" s="130">
        <f>C64*2</f>
        <v>4748</v>
      </c>
      <c r="D36" s="144" t="s">
        <v>452</v>
      </c>
    </row>
    <row r="37" spans="1:4" ht="14.25" customHeight="1">
      <c r="A37" s="6" t="s">
        <v>265</v>
      </c>
      <c r="B37" s="7">
        <v>0</v>
      </c>
      <c r="C37" s="130">
        <v>360</v>
      </c>
      <c r="D37" s="141" t="s">
        <v>453</v>
      </c>
    </row>
    <row r="38" spans="1:4" ht="14.25" customHeight="1">
      <c r="A38" s="6" t="s">
        <v>104</v>
      </c>
      <c r="B38" s="7">
        <v>0</v>
      </c>
      <c r="C38" s="130"/>
      <c r="D38" s="142"/>
    </row>
    <row r="39" spans="1:4" ht="14.25" customHeight="1">
      <c r="A39" s="6" t="s">
        <v>105</v>
      </c>
      <c r="B39" s="7">
        <v>0</v>
      </c>
      <c r="C39" s="130">
        <v>400</v>
      </c>
      <c r="D39" s="142"/>
    </row>
    <row r="40" spans="1:4" ht="14.25" customHeight="1">
      <c r="A40" s="6" t="s">
        <v>107</v>
      </c>
      <c r="B40" s="7">
        <v>0</v>
      </c>
      <c r="C40" s="130"/>
      <c r="D40" s="144" t="s">
        <v>438</v>
      </c>
    </row>
    <row r="41" spans="1:4" ht="14.25" customHeight="1">
      <c r="A41" s="6" t="s">
        <v>108</v>
      </c>
      <c r="B41" s="7">
        <v>0</v>
      </c>
      <c r="C41" s="130"/>
      <c r="D41" s="131"/>
    </row>
    <row r="42" spans="1:4" ht="14.25" customHeight="1">
      <c r="A42" s="6" t="s">
        <v>109</v>
      </c>
      <c r="B42" s="137">
        <f t="shared" ref="B42:C42" si="2">SUM(B27:B41)</f>
        <v>1183.3899999999999</v>
      </c>
      <c r="C42" s="137">
        <f t="shared" si="2"/>
        <v>7793</v>
      </c>
      <c r="D42" s="138"/>
    </row>
    <row r="43" spans="1:4" ht="14.25" customHeight="1">
      <c r="A43" s="6" t="s">
        <v>110</v>
      </c>
      <c r="B43" s="137">
        <f t="shared" ref="B43:C43" si="3">B42+B26</f>
        <v>1183.3899999999999</v>
      </c>
      <c r="C43" s="137">
        <f t="shared" si="3"/>
        <v>7993</v>
      </c>
      <c r="D43" s="138"/>
    </row>
    <row r="44" spans="1:4" ht="14.25" customHeight="1">
      <c r="A44" s="6"/>
      <c r="B44" s="137"/>
      <c r="C44" s="137"/>
      <c r="D44" s="138"/>
    </row>
    <row r="45" spans="1:4" ht="14.25" customHeight="1">
      <c r="A45" s="6" t="s">
        <v>270</v>
      </c>
      <c r="B45" s="7"/>
      <c r="C45" s="130"/>
      <c r="D45" s="131"/>
    </row>
    <row r="46" spans="1:4" ht="14.25" customHeight="1">
      <c r="A46" s="6" t="s">
        <v>271</v>
      </c>
      <c r="B46" s="7">
        <v>1879</v>
      </c>
      <c r="C46" s="130">
        <v>1900</v>
      </c>
    </row>
    <row r="47" spans="1:4" ht="14.25" customHeight="1">
      <c r="A47" s="6" t="s">
        <v>272</v>
      </c>
      <c r="B47" s="147">
        <v>0</v>
      </c>
      <c r="C47" s="130"/>
      <c r="D47" s="131"/>
    </row>
    <row r="48" spans="1:4" ht="14.25" customHeight="1">
      <c r="A48" s="6" t="s">
        <v>116</v>
      </c>
      <c r="B48" s="137">
        <f>(B46)+(B47)+B45</f>
        <v>1879</v>
      </c>
      <c r="C48" s="137">
        <f>(C46)+(C47)</f>
        <v>1900</v>
      </c>
      <c r="D48" s="138"/>
    </row>
    <row r="49" spans="1:4" ht="14.25" customHeight="1">
      <c r="A49" s="6" t="s">
        <v>273</v>
      </c>
      <c r="B49" s="7">
        <v>0</v>
      </c>
      <c r="C49" s="130"/>
      <c r="D49" s="131"/>
    </row>
    <row r="50" spans="1:4" ht="14.25" customHeight="1">
      <c r="A50" s="6" t="s">
        <v>274</v>
      </c>
      <c r="B50" s="7">
        <v>2439.64</v>
      </c>
      <c r="C50" s="130">
        <v>1900</v>
      </c>
      <c r="D50" s="131" t="s">
        <v>275</v>
      </c>
    </row>
    <row r="51" spans="1:4" ht="14.25" customHeight="1">
      <c r="A51" s="6" t="s">
        <v>276</v>
      </c>
      <c r="B51" s="147">
        <v>0</v>
      </c>
      <c r="C51" s="130"/>
      <c r="D51" s="131"/>
    </row>
    <row r="52" spans="1:4" ht="14.25" customHeight="1">
      <c r="A52" s="6" t="s">
        <v>277</v>
      </c>
      <c r="B52" s="137">
        <f t="shared" ref="B52:C52" si="4">(B50)+(B51)</f>
        <v>2439.64</v>
      </c>
      <c r="C52" s="137">
        <f t="shared" si="4"/>
        <v>1900</v>
      </c>
      <c r="D52" s="138"/>
    </row>
    <row r="53" spans="1:4" ht="14.25" customHeight="1">
      <c r="A53" s="6" t="s">
        <v>278</v>
      </c>
      <c r="B53" s="137">
        <f t="shared" ref="B53:C53" si="5">B48-B52</f>
        <v>-560.63999999999987</v>
      </c>
      <c r="C53" s="137">
        <f t="shared" si="5"/>
        <v>0</v>
      </c>
      <c r="D53" s="138"/>
    </row>
    <row r="54" spans="1:4" ht="14.25" customHeight="1">
      <c r="A54" s="6" t="s">
        <v>279</v>
      </c>
      <c r="B54" s="137">
        <f t="shared" ref="B54:C54" si="6">B17-B43+B53</f>
        <v>-25.229999999999791</v>
      </c>
      <c r="C54" s="137">
        <f t="shared" si="6"/>
        <v>-4693</v>
      </c>
      <c r="D54" s="138"/>
    </row>
    <row r="55" spans="1:4" ht="14.25" customHeight="1">
      <c r="A55" s="6"/>
      <c r="B55" s="7"/>
      <c r="C55" s="130"/>
      <c r="D55" s="131"/>
    </row>
    <row r="56" spans="1:4" ht="14.25" customHeight="1">
      <c r="A56" s="24" t="s">
        <v>280</v>
      </c>
      <c r="B56" s="15"/>
      <c r="C56" s="148">
        <f>C36+C35</f>
        <v>4958</v>
      </c>
      <c r="D56" s="149" t="s">
        <v>422</v>
      </c>
    </row>
    <row r="57" spans="1:4" ht="14.25" customHeight="1">
      <c r="A57" s="24" t="s">
        <v>343</v>
      </c>
      <c r="B57" s="15"/>
      <c r="C57" s="148">
        <f>C54+C56</f>
        <v>265</v>
      </c>
      <c r="D57" s="149"/>
    </row>
    <row r="58" spans="1:4" ht="14.25" customHeight="1">
      <c r="B58" s="15"/>
      <c r="C58" s="42"/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122"/>
      <c r="D61" s="149"/>
    </row>
    <row r="62" spans="1:4" ht="14.25" customHeight="1">
      <c r="A62" s="150" t="s">
        <v>283</v>
      </c>
      <c r="B62" s="151"/>
      <c r="C62" s="152"/>
      <c r="D62" s="153"/>
    </row>
    <row r="63" spans="1:4" ht="14.25" customHeight="1">
      <c r="A63" s="154" t="s">
        <v>229</v>
      </c>
      <c r="B63" s="17"/>
      <c r="C63" s="155">
        <v>2969</v>
      </c>
      <c r="D63" s="153"/>
    </row>
    <row r="64" spans="1:4" ht="14.25" customHeight="1">
      <c r="A64" s="156" t="s">
        <v>284</v>
      </c>
      <c r="B64" s="157"/>
      <c r="C64" s="158">
        <v>2374</v>
      </c>
      <c r="D64" s="153"/>
    </row>
    <row r="65" spans="2:4" ht="14.25" customHeight="1">
      <c r="B65" s="15"/>
      <c r="C65" s="40"/>
      <c r="D65" s="149"/>
    </row>
    <row r="66" spans="2:4" ht="14.25" customHeight="1">
      <c r="D66" s="109"/>
    </row>
    <row r="67" spans="2:4" ht="14.25" customHeight="1">
      <c r="D67" s="109"/>
    </row>
    <row r="68" spans="2:4" ht="14.25" customHeight="1">
      <c r="D68" s="109"/>
    </row>
    <row r="69" spans="2:4" ht="14.25" customHeight="1">
      <c r="D69" s="109"/>
    </row>
    <row r="70" spans="2:4" ht="14.25" customHeight="1">
      <c r="D70" s="109"/>
    </row>
    <row r="71" spans="2:4" ht="14.25" customHeight="1">
      <c r="D71" s="109"/>
    </row>
    <row r="72" spans="2:4" ht="14.25" customHeight="1">
      <c r="D72" s="109"/>
    </row>
    <row r="73" spans="2:4" ht="14.25" customHeight="1">
      <c r="D73" s="109"/>
    </row>
    <row r="74" spans="2:4" ht="14.25" customHeight="1">
      <c r="D74" s="109"/>
    </row>
    <row r="75" spans="2:4" ht="14.25" customHeight="1">
      <c r="D75" s="109"/>
    </row>
    <row r="76" spans="2:4" ht="14.25" customHeight="1">
      <c r="D76" s="109"/>
    </row>
    <row r="77" spans="2:4" ht="14.25" customHeight="1">
      <c r="D77" s="109"/>
    </row>
    <row r="78" spans="2:4" ht="14.25" customHeight="1">
      <c r="D78" s="109"/>
    </row>
    <row r="79" spans="2:4" ht="14.25" customHeight="1">
      <c r="D79" s="109"/>
    </row>
    <row r="80" spans="2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/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T100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14.42578125" defaultRowHeight="15" customHeight="1"/>
  <cols>
    <col min="1" max="1" width="20.7109375" customWidth="1"/>
    <col min="2" max="8" width="14.28515625" customWidth="1"/>
    <col min="9" max="9" width="26.7109375" customWidth="1"/>
    <col min="10" max="17" width="14.28515625" customWidth="1"/>
    <col min="18" max="21" width="11.85546875" customWidth="1"/>
    <col min="22" max="28" width="8.7109375" customWidth="1"/>
  </cols>
  <sheetData>
    <row r="1" spans="1:20" ht="14.25" customHeight="1">
      <c r="A1" s="43" t="s">
        <v>144</v>
      </c>
      <c r="B1" s="44"/>
      <c r="C1" s="44"/>
      <c r="D1" s="44"/>
      <c r="E1" s="45"/>
      <c r="F1" s="45"/>
      <c r="G1" s="45"/>
      <c r="H1" s="45"/>
      <c r="I1" s="45"/>
      <c r="J1" s="45"/>
      <c r="K1" s="43"/>
      <c r="L1" s="43"/>
      <c r="M1" s="44"/>
      <c r="N1" s="44"/>
      <c r="O1" s="44"/>
      <c r="P1" s="44"/>
      <c r="Q1" s="44"/>
      <c r="R1" s="44"/>
      <c r="S1" s="44"/>
      <c r="T1" s="44"/>
    </row>
    <row r="2" spans="1:20" ht="14.25" customHeight="1">
      <c r="A2" s="46"/>
      <c r="B2" s="205" t="s">
        <v>145</v>
      </c>
      <c r="C2" s="206"/>
      <c r="D2" s="207"/>
      <c r="E2" s="47" t="s">
        <v>146</v>
      </c>
      <c r="F2" s="208" t="s">
        <v>147</v>
      </c>
      <c r="G2" s="206"/>
      <c r="H2" s="206"/>
      <c r="I2" s="206"/>
      <c r="J2" s="206"/>
      <c r="K2" s="207"/>
      <c r="L2" s="48" t="s">
        <v>148</v>
      </c>
      <c r="M2" s="209"/>
      <c r="N2" s="210"/>
      <c r="O2" s="210"/>
      <c r="P2" s="210"/>
      <c r="Q2" s="211"/>
    </row>
    <row r="3" spans="1:20" ht="14.25" customHeight="1">
      <c r="A3" s="49" t="s">
        <v>149</v>
      </c>
      <c r="B3" s="50" t="s">
        <v>150</v>
      </c>
      <c r="C3" s="50" t="s">
        <v>151</v>
      </c>
      <c r="D3" s="51" t="s">
        <v>152</v>
      </c>
      <c r="E3" s="52" t="s">
        <v>153</v>
      </c>
      <c r="F3" s="49" t="s">
        <v>154</v>
      </c>
      <c r="G3" s="49" t="s">
        <v>155</v>
      </c>
      <c r="H3" s="49" t="s">
        <v>156</v>
      </c>
      <c r="I3" s="49" t="s">
        <v>157</v>
      </c>
      <c r="J3" s="49" t="s">
        <v>158</v>
      </c>
      <c r="K3" s="53" t="s">
        <v>159</v>
      </c>
      <c r="L3" s="54" t="s">
        <v>160</v>
      </c>
      <c r="M3" s="52" t="s">
        <v>161</v>
      </c>
      <c r="N3" s="53" t="s">
        <v>162</v>
      </c>
      <c r="O3" s="53" t="s">
        <v>163</v>
      </c>
      <c r="P3" s="53" t="s">
        <v>164</v>
      </c>
      <c r="Q3" s="52" t="s">
        <v>165</v>
      </c>
    </row>
    <row r="4" spans="1:20" ht="14.25" customHeight="1">
      <c r="A4" s="55" t="s">
        <v>166</v>
      </c>
      <c r="B4" s="56">
        <f>Baseball!F5</f>
        <v>60</v>
      </c>
      <c r="C4" s="57">
        <f t="shared" ref="C4:C27" si="0">K4/B4</f>
        <v>736.63333333333333</v>
      </c>
      <c r="D4" s="58">
        <v>12</v>
      </c>
      <c r="E4" s="57">
        <f>Baseball!C17</f>
        <v>46000</v>
      </c>
      <c r="F4" s="59">
        <f>2374*2</f>
        <v>4748</v>
      </c>
      <c r="G4" s="59">
        <f>Baseball!C35</f>
        <v>4748</v>
      </c>
      <c r="H4" s="59">
        <f>Baseball!C55-G4</f>
        <v>350</v>
      </c>
      <c r="I4" s="60" t="s">
        <v>167</v>
      </c>
      <c r="J4" s="59">
        <f>K4-G4-H4+7122-4748</f>
        <v>41474</v>
      </c>
      <c r="K4" s="61">
        <f>Baseball!C42-Baseball!C52</f>
        <v>44198</v>
      </c>
      <c r="L4" s="62">
        <f t="shared" ref="L4:L27" si="1">E4-K4</f>
        <v>1802</v>
      </c>
      <c r="M4" s="57">
        <f>Baseball!B3</f>
        <v>27015.68</v>
      </c>
      <c r="N4" s="57">
        <f t="shared" ref="N4:N27" si="2">IF(M4-J4&gt;0,J4,M4)</f>
        <v>27015.68</v>
      </c>
      <c r="O4" s="57">
        <f t="shared" ref="O4:O27" si="3">J4-N4</f>
        <v>14458.32</v>
      </c>
      <c r="P4" s="57">
        <f t="shared" ref="P4:P27" si="4">IF(E4&gt;O4, 0, O4-E4)</f>
        <v>0</v>
      </c>
      <c r="Q4" s="57">
        <f t="shared" ref="Q4:Q27" si="5">H4</f>
        <v>350</v>
      </c>
      <c r="R4" s="44"/>
      <c r="S4" s="44"/>
      <c r="T4" s="44"/>
    </row>
    <row r="5" spans="1:20" ht="14.25" customHeight="1">
      <c r="A5" s="63" t="s">
        <v>168</v>
      </c>
      <c r="B5" s="64">
        <f>'Basketball - Boys'!F4</f>
        <v>40</v>
      </c>
      <c r="C5" s="57">
        <f t="shared" si="0"/>
        <v>962.63049999999998</v>
      </c>
      <c r="D5" s="58">
        <v>21</v>
      </c>
      <c r="E5" s="57">
        <f>'Basketball - Boys'!C17</f>
        <v>24533.100000000002</v>
      </c>
      <c r="F5" s="59">
        <v>2374</v>
      </c>
      <c r="G5" s="59">
        <f>'Basketball - Boys'!C36</f>
        <v>3124</v>
      </c>
      <c r="H5" s="59">
        <f>'Basketball - Boys'!C57-G5</f>
        <v>1995</v>
      </c>
      <c r="I5" s="60" t="s">
        <v>167</v>
      </c>
      <c r="J5" s="59">
        <f t="shared" ref="J5:J14" si="6">K5-G5-H5</f>
        <v>33386.22</v>
      </c>
      <c r="K5" s="61">
        <f>'Basketball - Boys'!C44-'Basketball - Boys'!C54</f>
        <v>38505.22</v>
      </c>
      <c r="L5" s="62">
        <f t="shared" si="1"/>
        <v>-13972.119999999999</v>
      </c>
      <c r="M5" s="57">
        <f>'Basketball - Boys'!B2</f>
        <v>22294.06</v>
      </c>
      <c r="N5" s="57">
        <f t="shared" si="2"/>
        <v>22294.06</v>
      </c>
      <c r="O5" s="57">
        <f t="shared" si="3"/>
        <v>11092.16</v>
      </c>
      <c r="P5" s="57">
        <f t="shared" si="4"/>
        <v>0</v>
      </c>
      <c r="Q5" s="57">
        <f t="shared" si="5"/>
        <v>1995</v>
      </c>
      <c r="R5" s="44"/>
      <c r="S5" s="44"/>
      <c r="T5" s="44"/>
    </row>
    <row r="6" spans="1:20" ht="14.25" customHeight="1">
      <c r="A6" s="63" t="s">
        <v>169</v>
      </c>
      <c r="B6" s="64">
        <f>'Basketball - Girls'!F4</f>
        <v>30</v>
      </c>
      <c r="C6" s="57">
        <f t="shared" si="0"/>
        <v>545.13333333333333</v>
      </c>
      <c r="D6" s="58">
        <v>7</v>
      </c>
      <c r="E6" s="57">
        <f>'Basketball - Girls'!C17</f>
        <v>10500</v>
      </c>
      <c r="F6" s="59">
        <v>0</v>
      </c>
      <c r="G6" s="59">
        <f>'Basketball - Girls'!C36</f>
        <v>2374</v>
      </c>
      <c r="H6" s="59">
        <f>'Basketball - Girls'!C57-G6</f>
        <v>2780</v>
      </c>
      <c r="I6" s="60" t="s">
        <v>170</v>
      </c>
      <c r="J6" s="59">
        <f t="shared" si="6"/>
        <v>11200</v>
      </c>
      <c r="K6" s="61">
        <f>'Basketball - Girls'!C44-'Basketball - Girls'!C54</f>
        <v>16354</v>
      </c>
      <c r="L6" s="62">
        <f t="shared" si="1"/>
        <v>-5854</v>
      </c>
      <c r="M6" s="57">
        <f>'Basketball - Girls'!B2</f>
        <v>4725.3900000000003</v>
      </c>
      <c r="N6" s="57">
        <f t="shared" si="2"/>
        <v>4725.3900000000003</v>
      </c>
      <c r="O6" s="57">
        <f t="shared" si="3"/>
        <v>6474.61</v>
      </c>
      <c r="P6" s="57">
        <f t="shared" si="4"/>
        <v>0</v>
      </c>
      <c r="Q6" s="57">
        <f t="shared" si="5"/>
        <v>2780</v>
      </c>
      <c r="R6" s="44"/>
      <c r="S6" s="44"/>
      <c r="T6" s="44"/>
    </row>
    <row r="7" spans="1:20" ht="14.25" customHeight="1">
      <c r="A7" s="63" t="s">
        <v>171</v>
      </c>
      <c r="B7" s="64">
        <f>Cheer!F6</f>
        <v>57</v>
      </c>
      <c r="C7" s="57">
        <f t="shared" si="0"/>
        <v>518.15789473684208</v>
      </c>
      <c r="D7" s="58">
        <v>9</v>
      </c>
      <c r="E7" s="57">
        <f>Cheer!C18</f>
        <v>31550</v>
      </c>
      <c r="F7" s="59">
        <v>0</v>
      </c>
      <c r="G7" s="59">
        <v>0</v>
      </c>
      <c r="H7" s="59">
        <v>0</v>
      </c>
      <c r="I7" s="60" t="s">
        <v>172</v>
      </c>
      <c r="J7" s="59">
        <f t="shared" si="6"/>
        <v>29535</v>
      </c>
      <c r="K7" s="61">
        <f>Cheer!C44-Cheer!C54</f>
        <v>29535</v>
      </c>
      <c r="L7" s="62">
        <f t="shared" si="1"/>
        <v>2015</v>
      </c>
      <c r="M7" s="57">
        <f>Cheer!B2</f>
        <v>7775.87</v>
      </c>
      <c r="N7" s="57">
        <f t="shared" si="2"/>
        <v>7775.87</v>
      </c>
      <c r="O7" s="57">
        <f t="shared" si="3"/>
        <v>21759.13</v>
      </c>
      <c r="P7" s="57">
        <f t="shared" si="4"/>
        <v>0</v>
      </c>
      <c r="Q7" s="57">
        <f t="shared" si="5"/>
        <v>0</v>
      </c>
      <c r="R7" s="44"/>
      <c r="S7" s="44"/>
      <c r="T7" s="44"/>
    </row>
    <row r="8" spans="1:20" ht="14.25" customHeight="1">
      <c r="A8" s="63" t="s">
        <v>173</v>
      </c>
      <c r="B8" s="64">
        <f>'Cross Country'!F4</f>
        <v>61</v>
      </c>
      <c r="C8" s="57">
        <f t="shared" si="0"/>
        <v>90.393442622950815</v>
      </c>
      <c r="D8" s="58">
        <v>36</v>
      </c>
      <c r="E8" s="57">
        <f>'Cross Country'!C17</f>
        <v>3000</v>
      </c>
      <c r="F8" s="59">
        <v>2374</v>
      </c>
      <c r="G8" s="59">
        <f>'Cross Country'!C37</f>
        <v>2374</v>
      </c>
      <c r="H8" s="59">
        <f>'Cross Country'!C58-G8</f>
        <v>315</v>
      </c>
      <c r="I8" s="60" t="s">
        <v>174</v>
      </c>
      <c r="J8" s="59">
        <f t="shared" si="6"/>
        <v>2825</v>
      </c>
      <c r="K8" s="61">
        <f>'Cross Country'!C45-'Cross Country'!C55</f>
        <v>5514</v>
      </c>
      <c r="L8" s="62">
        <f t="shared" si="1"/>
        <v>-2514</v>
      </c>
      <c r="M8" s="57">
        <f>'Cross Country'!B2</f>
        <v>943.95</v>
      </c>
      <c r="N8" s="57">
        <f t="shared" si="2"/>
        <v>943.95</v>
      </c>
      <c r="O8" s="57">
        <f t="shared" si="3"/>
        <v>1881.05</v>
      </c>
      <c r="P8" s="57">
        <f t="shared" si="4"/>
        <v>0</v>
      </c>
      <c r="Q8" s="57">
        <f t="shared" si="5"/>
        <v>315</v>
      </c>
      <c r="R8" s="44"/>
      <c r="S8" s="44"/>
      <c r="T8" s="44"/>
    </row>
    <row r="9" spans="1:20" ht="14.25" customHeight="1">
      <c r="A9" s="63" t="s">
        <v>175</v>
      </c>
      <c r="B9" s="64">
        <f>Football!F4</f>
        <v>95</v>
      </c>
      <c r="C9" s="57">
        <f t="shared" si="0"/>
        <v>888.47595789473689</v>
      </c>
      <c r="D9" s="58">
        <v>16</v>
      </c>
      <c r="E9" s="57">
        <f>Football!C20</f>
        <v>62293.75</v>
      </c>
      <c r="F9" s="59">
        <f>2374*2+2969</f>
        <v>7717</v>
      </c>
      <c r="G9" s="59">
        <f>Football!C40</f>
        <v>7122</v>
      </c>
      <c r="H9" s="59">
        <f>Football!C61-G9</f>
        <v>13525</v>
      </c>
      <c r="I9" s="60" t="s">
        <v>176</v>
      </c>
      <c r="J9" s="59">
        <f t="shared" si="6"/>
        <v>63758.216</v>
      </c>
      <c r="K9" s="61">
        <f>Football!C48-Football!C58</f>
        <v>84405.216</v>
      </c>
      <c r="L9" s="62">
        <f t="shared" si="1"/>
        <v>-22111.466</v>
      </c>
      <c r="M9" s="57">
        <f>Football!B2</f>
        <v>1146.3499999999999</v>
      </c>
      <c r="N9" s="57">
        <f t="shared" si="2"/>
        <v>1146.3499999999999</v>
      </c>
      <c r="O9" s="57">
        <f t="shared" si="3"/>
        <v>62611.866000000002</v>
      </c>
      <c r="P9" s="57">
        <f t="shared" si="4"/>
        <v>318.1160000000018</v>
      </c>
      <c r="Q9" s="57">
        <f t="shared" si="5"/>
        <v>13525</v>
      </c>
      <c r="R9" s="44"/>
      <c r="S9" s="44"/>
      <c r="T9" s="44"/>
    </row>
    <row r="10" spans="1:20" ht="14.25" customHeight="1">
      <c r="A10" s="63" t="s">
        <v>177</v>
      </c>
      <c r="B10" s="64">
        <f>'Flag Football'!F4</f>
        <v>50</v>
      </c>
      <c r="C10" s="57">
        <f t="shared" si="0"/>
        <v>313.06</v>
      </c>
      <c r="D10" s="58">
        <v>5</v>
      </c>
      <c r="E10" s="57">
        <f>'Flag Football'!C17</f>
        <v>1500</v>
      </c>
      <c r="F10" s="59">
        <v>0</v>
      </c>
      <c r="G10" s="59">
        <f>'Flag Football'!C36</f>
        <v>4748</v>
      </c>
      <c r="H10" s="59">
        <f>'Flag Football'!C57-G10</f>
        <v>6455</v>
      </c>
      <c r="I10" s="60" t="s">
        <v>178</v>
      </c>
      <c r="J10" s="59">
        <f t="shared" si="6"/>
        <v>4450</v>
      </c>
      <c r="K10" s="61">
        <f>'Flag Football'!C44-'Flag Football'!C54</f>
        <v>15653</v>
      </c>
      <c r="L10" s="62">
        <f t="shared" si="1"/>
        <v>-14153</v>
      </c>
      <c r="M10" s="57">
        <f>'Flag Football'!B2</f>
        <v>3126.91</v>
      </c>
      <c r="N10" s="57">
        <f t="shared" si="2"/>
        <v>3126.91</v>
      </c>
      <c r="O10" s="57">
        <f t="shared" si="3"/>
        <v>1323.0900000000001</v>
      </c>
      <c r="P10" s="57">
        <f t="shared" si="4"/>
        <v>0</v>
      </c>
      <c r="Q10" s="57">
        <f t="shared" si="5"/>
        <v>6455</v>
      </c>
      <c r="R10" s="44"/>
      <c r="S10" s="44"/>
      <c r="T10" s="44"/>
    </row>
    <row r="11" spans="1:20" ht="14.25" customHeight="1">
      <c r="A11" s="63" t="s">
        <v>179</v>
      </c>
      <c r="B11" s="64">
        <f>'Golf - Boys'!F4</f>
        <v>22</v>
      </c>
      <c r="C11" s="57">
        <f t="shared" si="0"/>
        <v>490.24818181818176</v>
      </c>
      <c r="D11" s="58">
        <v>9</v>
      </c>
      <c r="E11" s="57">
        <f>'Golf - Boys'!C18</f>
        <v>10582.55</v>
      </c>
      <c r="F11" s="59">
        <v>0</v>
      </c>
      <c r="G11" s="59">
        <v>0</v>
      </c>
      <c r="H11" s="59">
        <f>'Golf - Boys'!C57-G11</f>
        <v>175</v>
      </c>
      <c r="I11" s="60" t="s">
        <v>180</v>
      </c>
      <c r="J11" s="59">
        <f t="shared" si="6"/>
        <v>10610.46</v>
      </c>
      <c r="K11" s="61">
        <f>'Golf - Boys'!C44-'Golf - Boys'!C54</f>
        <v>10785.46</v>
      </c>
      <c r="L11" s="62">
        <f t="shared" si="1"/>
        <v>-202.90999999999985</v>
      </c>
      <c r="M11" s="57">
        <f>'Golf - Boys'!B2</f>
        <v>0</v>
      </c>
      <c r="N11" s="57">
        <f t="shared" si="2"/>
        <v>0</v>
      </c>
      <c r="O11" s="57">
        <f t="shared" si="3"/>
        <v>10610.46</v>
      </c>
      <c r="P11" s="57">
        <f t="shared" si="4"/>
        <v>27.909999999999854</v>
      </c>
      <c r="Q11" s="57">
        <f t="shared" si="5"/>
        <v>175</v>
      </c>
      <c r="R11" s="44"/>
      <c r="S11" s="44"/>
      <c r="T11" s="44"/>
    </row>
    <row r="12" spans="1:20" ht="14.25" customHeight="1">
      <c r="A12" s="63" t="s">
        <v>181</v>
      </c>
      <c r="B12" s="64">
        <f>'Golf - Girls'!F4</f>
        <v>12</v>
      </c>
      <c r="C12" s="57">
        <f t="shared" si="0"/>
        <v>196.42833333333337</v>
      </c>
      <c r="D12" s="58">
        <v>7</v>
      </c>
      <c r="E12" s="57">
        <f>'Golf - Girls'!C17</f>
        <v>2000</v>
      </c>
      <c r="F12" s="59">
        <v>2374</v>
      </c>
      <c r="G12" s="59">
        <v>0</v>
      </c>
      <c r="H12" s="59">
        <f>'Golf - Girls'!C56-G12</f>
        <v>140</v>
      </c>
      <c r="I12" s="60" t="s">
        <v>170</v>
      </c>
      <c r="J12" s="59">
        <f t="shared" si="6"/>
        <v>2217.1400000000003</v>
      </c>
      <c r="K12" s="61">
        <f>'Golf - Girls'!C43-'Golf - Girls'!C53</f>
        <v>2357.1400000000003</v>
      </c>
      <c r="L12" s="62">
        <f t="shared" si="1"/>
        <v>-357.14000000000033</v>
      </c>
      <c r="M12" s="57">
        <f>'Golf - Girls'!B2</f>
        <v>345.44</v>
      </c>
      <c r="N12" s="57">
        <f t="shared" si="2"/>
        <v>345.44</v>
      </c>
      <c r="O12" s="57">
        <f t="shared" si="3"/>
        <v>1871.7000000000003</v>
      </c>
      <c r="P12" s="57">
        <f t="shared" si="4"/>
        <v>0</v>
      </c>
      <c r="Q12" s="57">
        <f t="shared" si="5"/>
        <v>140</v>
      </c>
      <c r="R12" s="44"/>
      <c r="S12" s="44"/>
      <c r="T12" s="44"/>
    </row>
    <row r="13" spans="1:20" ht="14.25" customHeight="1">
      <c r="A13" s="63" t="s">
        <v>182</v>
      </c>
      <c r="B13" s="64">
        <f>'Lacrosse - Boys'!F4</f>
        <v>45</v>
      </c>
      <c r="C13" s="57">
        <f t="shared" si="0"/>
        <v>160.62222222222223</v>
      </c>
      <c r="D13" s="58">
        <v>24</v>
      </c>
      <c r="E13" s="57">
        <f>'Lacrosse - Boys'!C17</f>
        <v>1500</v>
      </c>
      <c r="F13" s="59">
        <v>5343</v>
      </c>
      <c r="G13" s="59">
        <f>'Lacrosse - Boys'!C36</f>
        <v>5343</v>
      </c>
      <c r="H13" s="59">
        <f>'Lacrosse - Boys'!C56-G13</f>
        <v>385</v>
      </c>
      <c r="I13" s="60" t="s">
        <v>167</v>
      </c>
      <c r="J13" s="59">
        <f t="shared" si="6"/>
        <v>1500</v>
      </c>
      <c r="K13" s="61">
        <f>'Lacrosse - Boys'!C43-'Lacrosse - Boys'!C53</f>
        <v>7228</v>
      </c>
      <c r="L13" s="62">
        <f t="shared" si="1"/>
        <v>-5728</v>
      </c>
      <c r="M13" s="57">
        <f>'Lacrosse - Boys'!B2</f>
        <v>1901.27</v>
      </c>
      <c r="N13" s="57">
        <f t="shared" si="2"/>
        <v>1500</v>
      </c>
      <c r="O13" s="57">
        <f t="shared" si="3"/>
        <v>0</v>
      </c>
      <c r="P13" s="57">
        <f t="shared" si="4"/>
        <v>0</v>
      </c>
      <c r="Q13" s="57">
        <f t="shared" si="5"/>
        <v>385</v>
      </c>
      <c r="R13" s="44"/>
      <c r="S13" s="44"/>
      <c r="T13" s="44"/>
    </row>
    <row r="14" spans="1:20" ht="14.25" customHeight="1">
      <c r="A14" s="63" t="s">
        <v>183</v>
      </c>
      <c r="B14" s="64">
        <f>'Lacrosse - Girls'!F4</f>
        <v>45</v>
      </c>
      <c r="C14" s="57">
        <f t="shared" si="0"/>
        <v>235.41600000000003</v>
      </c>
      <c r="D14" s="58">
        <v>18</v>
      </c>
      <c r="E14" s="57">
        <f>'Lacrosse - Girls'!C17</f>
        <v>5283.5</v>
      </c>
      <c r="F14" s="59">
        <v>2374</v>
      </c>
      <c r="G14" s="59">
        <f>'Lacrosse - Girls'!C36-2969</f>
        <v>2374</v>
      </c>
      <c r="H14" s="59">
        <v>2969</v>
      </c>
      <c r="I14" s="60" t="s">
        <v>167</v>
      </c>
      <c r="J14" s="59">
        <f t="shared" si="6"/>
        <v>5250.7200000000012</v>
      </c>
      <c r="K14" s="61">
        <f>'Lacrosse - Girls'!C44-'Lacrosse - Girls'!C54</f>
        <v>10593.720000000001</v>
      </c>
      <c r="L14" s="62">
        <f t="shared" si="1"/>
        <v>-5310.2200000000012</v>
      </c>
      <c r="M14" s="57">
        <f>'Lacrosse - Girls'!B2</f>
        <v>9245.31</v>
      </c>
      <c r="N14" s="57">
        <f t="shared" si="2"/>
        <v>5250.7200000000012</v>
      </c>
      <c r="O14" s="57">
        <f t="shared" si="3"/>
        <v>0</v>
      </c>
      <c r="P14" s="57">
        <f t="shared" si="4"/>
        <v>0</v>
      </c>
      <c r="Q14" s="57">
        <f t="shared" si="5"/>
        <v>2969</v>
      </c>
      <c r="R14" s="44"/>
      <c r="S14" s="44"/>
      <c r="T14" s="44"/>
    </row>
    <row r="15" spans="1:20" ht="14.25" customHeight="1">
      <c r="A15" s="63" t="s">
        <v>184</v>
      </c>
      <c r="B15" s="64">
        <f>'Soccer - Boys'!F4</f>
        <v>65</v>
      </c>
      <c r="C15" s="57">
        <f t="shared" si="0"/>
        <v>111.08938461538462</v>
      </c>
      <c r="D15" s="58">
        <v>15</v>
      </c>
      <c r="E15" s="57">
        <f>'Soccer - Boys'!C17</f>
        <v>5000</v>
      </c>
      <c r="F15" s="59">
        <v>5343</v>
      </c>
      <c r="G15" s="59">
        <f>'Soccer - Boys'!C36</f>
        <v>2374</v>
      </c>
      <c r="H15" s="59">
        <f>'Soccer - Boys'!C56-G15</f>
        <v>385</v>
      </c>
      <c r="I15" s="24" t="s">
        <v>170</v>
      </c>
      <c r="J15" s="59">
        <f>K15-G15-H15+7122-5343</f>
        <v>6240.8100000000013</v>
      </c>
      <c r="K15" s="61">
        <f>'Soccer - Boys'!C43-'Soccer - Boys'!C53</f>
        <v>7220.81</v>
      </c>
      <c r="L15" s="62">
        <f t="shared" si="1"/>
        <v>-2220.8100000000004</v>
      </c>
      <c r="M15" s="57">
        <f>'Soccer - Boys'!B2</f>
        <v>1174.3499999999999</v>
      </c>
      <c r="N15" s="57">
        <f t="shared" si="2"/>
        <v>1174.3499999999999</v>
      </c>
      <c r="O15" s="57">
        <f t="shared" si="3"/>
        <v>5066.4600000000009</v>
      </c>
      <c r="P15" s="57">
        <f t="shared" si="4"/>
        <v>66.460000000000946</v>
      </c>
      <c r="Q15" s="57">
        <f t="shared" si="5"/>
        <v>385</v>
      </c>
      <c r="R15" s="44"/>
      <c r="S15" s="44"/>
      <c r="T15" s="44"/>
    </row>
    <row r="16" spans="1:20" ht="14.25" customHeight="1">
      <c r="A16" s="63" t="s">
        <v>185</v>
      </c>
      <c r="B16" s="64">
        <f>'Soccer - Girls'!F5</f>
        <v>66</v>
      </c>
      <c r="C16" s="57">
        <f t="shared" si="0"/>
        <v>225.46969696969697</v>
      </c>
      <c r="D16" s="58">
        <v>23</v>
      </c>
      <c r="E16" s="57">
        <f>'Soccer - Girls'!C17</f>
        <v>0</v>
      </c>
      <c r="F16" s="59">
        <v>5343</v>
      </c>
      <c r="G16" s="59">
        <f>'Soccer - Girls'!C36/2</f>
        <v>4748</v>
      </c>
      <c r="H16" s="59">
        <f>'Soccer - Girls'!C56-G16</f>
        <v>385</v>
      </c>
      <c r="I16" s="60" t="s">
        <v>186</v>
      </c>
      <c r="J16" s="59">
        <f>K16-G16-H16+9496-F16</f>
        <v>13901</v>
      </c>
      <c r="K16" s="61">
        <f>'Soccer - Girls'!C43-'Soccer - Girls'!C53</f>
        <v>14881</v>
      </c>
      <c r="L16" s="62">
        <f t="shared" si="1"/>
        <v>-14881</v>
      </c>
      <c r="M16" s="57">
        <f>'Soccer - Girls'!B2</f>
        <v>13809.12</v>
      </c>
      <c r="N16" s="57">
        <f t="shared" si="2"/>
        <v>13809.12</v>
      </c>
      <c r="O16" s="57">
        <f t="shared" si="3"/>
        <v>91.8799999999992</v>
      </c>
      <c r="P16" s="57">
        <f t="shared" si="4"/>
        <v>91.8799999999992</v>
      </c>
      <c r="Q16" s="57">
        <f t="shared" si="5"/>
        <v>385</v>
      </c>
      <c r="R16" s="44"/>
      <c r="S16" s="44"/>
      <c r="T16" s="44"/>
    </row>
    <row r="17" spans="1:20" ht="14.25" customHeight="1">
      <c r="A17" s="63" t="s">
        <v>187</v>
      </c>
      <c r="B17" s="64">
        <f>Softball!F4</f>
        <v>26</v>
      </c>
      <c r="C17" s="57">
        <f t="shared" si="0"/>
        <v>455.61846153846153</v>
      </c>
      <c r="D17" s="58">
        <v>6</v>
      </c>
      <c r="E17" s="57">
        <f>Softball!C17</f>
        <v>9000</v>
      </c>
      <c r="F17" s="59">
        <f>2374/2</f>
        <v>1187</v>
      </c>
      <c r="G17" s="59">
        <f>Softball!C36</f>
        <v>2374</v>
      </c>
      <c r="H17" s="59">
        <f>Softball!C56-G17</f>
        <v>245</v>
      </c>
      <c r="I17" s="60" t="s">
        <v>170</v>
      </c>
      <c r="J17" s="59">
        <f>K17-G17-H17+2374-F17</f>
        <v>10414.08</v>
      </c>
      <c r="K17" s="61">
        <f>Softball!C43-Softball!C53</f>
        <v>11846.08</v>
      </c>
      <c r="L17" s="62">
        <f t="shared" si="1"/>
        <v>-2846.08</v>
      </c>
      <c r="M17" s="57">
        <f>Softball!B2</f>
        <v>913</v>
      </c>
      <c r="N17" s="57">
        <f t="shared" si="2"/>
        <v>913</v>
      </c>
      <c r="O17" s="57">
        <f t="shared" si="3"/>
        <v>9501.08</v>
      </c>
      <c r="P17" s="57">
        <f t="shared" si="4"/>
        <v>501.07999999999993</v>
      </c>
      <c r="Q17" s="57">
        <f t="shared" si="5"/>
        <v>245</v>
      </c>
      <c r="R17" s="44"/>
      <c r="S17" s="44"/>
      <c r="T17" s="44"/>
    </row>
    <row r="18" spans="1:20" ht="14.25" customHeight="1">
      <c r="A18" s="63" t="s">
        <v>188</v>
      </c>
      <c r="B18" s="64">
        <f>'Swim &amp; Dive - Swim'!F4</f>
        <v>100</v>
      </c>
      <c r="C18" s="57">
        <f t="shared" si="0"/>
        <v>91.543699999999987</v>
      </c>
      <c r="D18" s="58">
        <v>38</v>
      </c>
      <c r="E18" s="57">
        <f>'Swim &amp; Dive - Swim'!C17</f>
        <v>6256</v>
      </c>
      <c r="F18" s="62">
        <f>2374+2374</f>
        <v>4748</v>
      </c>
      <c r="G18" s="59">
        <f>'Swim &amp; Dive - Swim'!C36</f>
        <v>2374</v>
      </c>
      <c r="H18" s="59">
        <f>'Swim &amp; Dive - Swim'!C56-G18</f>
        <v>875</v>
      </c>
      <c r="I18" s="60" t="s">
        <v>174</v>
      </c>
      <c r="J18" s="59">
        <f t="shared" ref="J18:J19" si="7">K18-G18-H18</f>
        <v>5905.369999999999</v>
      </c>
      <c r="K18" s="61">
        <f>'Swim &amp; Dive - Swim'!C43-'Swim &amp; Dive - Swim'!C53</f>
        <v>9154.369999999999</v>
      </c>
      <c r="L18" s="62">
        <f t="shared" si="1"/>
        <v>-2898.369999999999</v>
      </c>
      <c r="M18" s="57">
        <f>'Swim &amp; Dive - Swim'!B2</f>
        <v>6453.26</v>
      </c>
      <c r="N18" s="57">
        <f t="shared" si="2"/>
        <v>5905.369999999999</v>
      </c>
      <c r="O18" s="57">
        <f t="shared" si="3"/>
        <v>0</v>
      </c>
      <c r="P18" s="57">
        <f t="shared" si="4"/>
        <v>0</v>
      </c>
      <c r="Q18" s="57">
        <f t="shared" si="5"/>
        <v>875</v>
      </c>
      <c r="R18" s="44"/>
      <c r="S18" s="44"/>
      <c r="T18" s="44"/>
    </row>
    <row r="19" spans="1:20" ht="14.25" customHeight="1">
      <c r="A19" s="63" t="s">
        <v>189</v>
      </c>
      <c r="B19" s="64">
        <v>12</v>
      </c>
      <c r="C19" s="57">
        <f t="shared" si="0"/>
        <v>209.5</v>
      </c>
      <c r="D19" s="58"/>
      <c r="E19" s="57">
        <f>'Swim &amp; Dive - Dive'!C17</f>
        <v>0</v>
      </c>
      <c r="F19" s="62">
        <v>2374</v>
      </c>
      <c r="G19" s="59">
        <f>'Swim &amp; Dive - Dive'!C36</f>
        <v>2374</v>
      </c>
      <c r="H19" s="59">
        <f>'Swim &amp; Dive - Dive'!C56-G19</f>
        <v>140</v>
      </c>
      <c r="I19" s="60" t="s">
        <v>174</v>
      </c>
      <c r="J19" s="59">
        <f t="shared" si="7"/>
        <v>0</v>
      </c>
      <c r="K19" s="61">
        <f>-'Swim &amp; Dive - Dive'!C54</f>
        <v>2514</v>
      </c>
      <c r="L19" s="62">
        <f t="shared" si="1"/>
        <v>-2514</v>
      </c>
      <c r="M19" s="57">
        <v>0</v>
      </c>
      <c r="N19" s="57">
        <f t="shared" si="2"/>
        <v>0</v>
      </c>
      <c r="O19" s="57">
        <f t="shared" si="3"/>
        <v>0</v>
      </c>
      <c r="P19" s="57">
        <f t="shared" si="4"/>
        <v>0</v>
      </c>
      <c r="Q19" s="57">
        <f t="shared" si="5"/>
        <v>140</v>
      </c>
      <c r="R19" s="44"/>
      <c r="S19" s="44"/>
      <c r="T19" s="44"/>
    </row>
    <row r="20" spans="1:20" ht="14.25" customHeight="1">
      <c r="A20" s="63" t="s">
        <v>190</v>
      </c>
      <c r="B20" s="64">
        <f>'Tennis - Boys'!F4</f>
        <v>22</v>
      </c>
      <c r="C20" s="57">
        <f t="shared" si="0"/>
        <v>363.31818181818181</v>
      </c>
      <c r="D20" s="58">
        <v>8</v>
      </c>
      <c r="E20" s="57">
        <f>'Tennis - Boys'!C17</f>
        <v>3300</v>
      </c>
      <c r="F20" s="59">
        <f>2374</f>
        <v>2374</v>
      </c>
      <c r="G20" s="59">
        <f>'Tennis - Boys'!C36</f>
        <v>4748</v>
      </c>
      <c r="H20" s="59">
        <f>'Tennis - Boys'!C56-G20</f>
        <v>210</v>
      </c>
      <c r="I20" s="60" t="s">
        <v>167</v>
      </c>
      <c r="J20" s="59">
        <f>K20-G20-H20+4748-F20</f>
        <v>5409</v>
      </c>
      <c r="K20" s="61">
        <f>'Tennis - Boys'!C43-'Tennis - Boys'!C53</f>
        <v>7993</v>
      </c>
      <c r="L20" s="62">
        <f t="shared" si="1"/>
        <v>-4693</v>
      </c>
      <c r="M20" s="57">
        <f>'Tennis - Boys'!B2</f>
        <v>1970.63</v>
      </c>
      <c r="N20" s="57">
        <f t="shared" si="2"/>
        <v>1970.63</v>
      </c>
      <c r="O20" s="57">
        <f t="shared" si="3"/>
        <v>3438.37</v>
      </c>
      <c r="P20" s="57">
        <f t="shared" si="4"/>
        <v>138.36999999999989</v>
      </c>
      <c r="Q20" s="57">
        <f t="shared" si="5"/>
        <v>210</v>
      </c>
      <c r="R20" s="44"/>
      <c r="S20" s="44"/>
      <c r="T20" s="44"/>
    </row>
    <row r="21" spans="1:20" ht="14.25" customHeight="1">
      <c r="A21" s="63" t="s">
        <v>191</v>
      </c>
      <c r="B21" s="64">
        <f>'Tennis - Girls'!F4</f>
        <v>26</v>
      </c>
      <c r="C21" s="57">
        <f t="shared" si="0"/>
        <v>275.69230769230768</v>
      </c>
      <c r="D21" s="58">
        <v>12</v>
      </c>
      <c r="E21" s="57">
        <f>'Tennis - Girls'!C17</f>
        <v>1800</v>
      </c>
      <c r="F21" s="59">
        <f>2374*2</f>
        <v>4748</v>
      </c>
      <c r="G21" s="59">
        <f>'Tennis - Girls'!C36</f>
        <v>4748</v>
      </c>
      <c r="H21" s="59">
        <f>'Tennis - Girls'!C56-G21</f>
        <v>280</v>
      </c>
      <c r="I21" s="60" t="s">
        <v>167</v>
      </c>
      <c r="J21" s="59">
        <f>K21-G21-H21</f>
        <v>2140</v>
      </c>
      <c r="K21" s="61">
        <f>'Tennis - Girls'!C43-'Tennis - Girls'!C53</f>
        <v>7168</v>
      </c>
      <c r="L21" s="62">
        <f t="shared" si="1"/>
        <v>-5368</v>
      </c>
      <c r="M21" s="57">
        <f>'Tennis - Girls'!B2</f>
        <v>3883.64</v>
      </c>
      <c r="N21" s="57">
        <f t="shared" si="2"/>
        <v>2140</v>
      </c>
      <c r="O21" s="57">
        <f t="shared" si="3"/>
        <v>0</v>
      </c>
      <c r="P21" s="57">
        <f t="shared" si="4"/>
        <v>0</v>
      </c>
      <c r="Q21" s="57">
        <f t="shared" si="5"/>
        <v>280</v>
      </c>
      <c r="R21" s="44"/>
      <c r="S21" s="44"/>
      <c r="T21" s="44"/>
    </row>
    <row r="22" spans="1:20" ht="14.25" customHeight="1">
      <c r="A22" s="63" t="s">
        <v>192</v>
      </c>
      <c r="B22" s="64">
        <f>'Track &amp; Field'!F4</f>
        <v>75</v>
      </c>
      <c r="C22" s="57">
        <f t="shared" si="0"/>
        <v>120.10826666666668</v>
      </c>
      <c r="D22" s="58">
        <v>30</v>
      </c>
      <c r="E22" s="57">
        <f>'Track &amp; Field'!C17</f>
        <v>4435.8500000000004</v>
      </c>
      <c r="F22" s="59">
        <v>2374</v>
      </c>
      <c r="G22" s="59">
        <f>'Track &amp; Field'!C36</f>
        <v>4748</v>
      </c>
      <c r="H22" s="59">
        <f>'Track &amp; Field'!C56-G22</f>
        <v>700</v>
      </c>
      <c r="I22" s="60" t="s">
        <v>167</v>
      </c>
      <c r="J22" s="59">
        <f>K22-G22-H22+4748-F22</f>
        <v>5934.1200000000008</v>
      </c>
      <c r="K22" s="61">
        <f>'Track &amp; Field'!C43-'Track &amp; Field'!C53</f>
        <v>9008.1200000000008</v>
      </c>
      <c r="L22" s="62">
        <f t="shared" si="1"/>
        <v>-4572.2700000000004</v>
      </c>
      <c r="M22" s="57">
        <f>'Track &amp; Field'!B2</f>
        <v>4472.1099999999997</v>
      </c>
      <c r="N22" s="57">
        <f t="shared" si="2"/>
        <v>4472.1099999999997</v>
      </c>
      <c r="O22" s="57">
        <f t="shared" si="3"/>
        <v>1462.0100000000011</v>
      </c>
      <c r="P22" s="57">
        <f t="shared" si="4"/>
        <v>0</v>
      </c>
      <c r="Q22" s="57">
        <f t="shared" si="5"/>
        <v>700</v>
      </c>
      <c r="R22" s="44"/>
      <c r="S22" s="44"/>
      <c r="T22" s="44"/>
    </row>
    <row r="23" spans="1:20" ht="14.25" customHeight="1">
      <c r="A23" s="63" t="s">
        <v>193</v>
      </c>
      <c r="B23" s="64">
        <f>'Volleyball - Boys'!F4</f>
        <v>31</v>
      </c>
      <c r="C23" s="57">
        <f t="shared" si="0"/>
        <v>78.709677419354833</v>
      </c>
      <c r="D23" s="58">
        <v>10</v>
      </c>
      <c r="E23" s="57">
        <f>'Volleyball - Boys'!C17</f>
        <v>1800</v>
      </c>
      <c r="F23" s="59">
        <v>0</v>
      </c>
      <c r="G23" s="59">
        <v>0</v>
      </c>
      <c r="H23" s="59">
        <f>'Volleyball - Boys'!C56-G23</f>
        <v>390</v>
      </c>
      <c r="I23" s="60" t="s">
        <v>194</v>
      </c>
      <c r="J23" s="59">
        <f>K23-G23-H23</f>
        <v>2050</v>
      </c>
      <c r="K23" s="61">
        <f>'Volleyball - Boys'!C43-'Volleyball - Boys'!C53</f>
        <v>2440</v>
      </c>
      <c r="L23" s="62">
        <f t="shared" si="1"/>
        <v>-640</v>
      </c>
      <c r="M23" s="57">
        <f>'Volleyball - Boys'!B2</f>
        <v>2947.94</v>
      </c>
      <c r="N23" s="57">
        <f t="shared" si="2"/>
        <v>2050</v>
      </c>
      <c r="O23" s="57">
        <f t="shared" si="3"/>
        <v>0</v>
      </c>
      <c r="P23" s="57">
        <f t="shared" si="4"/>
        <v>0</v>
      </c>
      <c r="Q23" s="57">
        <f t="shared" si="5"/>
        <v>390</v>
      </c>
      <c r="R23" s="44"/>
      <c r="S23" s="44"/>
      <c r="T23" s="44"/>
    </row>
    <row r="24" spans="1:20" ht="14.25" customHeight="1">
      <c r="A24" s="63" t="s">
        <v>195</v>
      </c>
      <c r="B24" s="64">
        <f>'Volleyball - Girls'!F4</f>
        <v>39</v>
      </c>
      <c r="C24" s="57">
        <f t="shared" si="0"/>
        <v>141.95948717948718</v>
      </c>
      <c r="D24" s="58">
        <v>27</v>
      </c>
      <c r="E24" s="57">
        <f>'Volleyball - Girls'!C17</f>
        <v>1356.39</v>
      </c>
      <c r="F24" s="59">
        <v>0</v>
      </c>
      <c r="G24" s="59">
        <f>'Volleyball - Girls'!C36</f>
        <v>2374</v>
      </c>
      <c r="H24" s="59">
        <f>'Volleyball - Girls'!C56-G24</f>
        <v>245</v>
      </c>
      <c r="I24" s="60" t="s">
        <v>196</v>
      </c>
      <c r="J24" s="59">
        <f>K24-G24-H24+2374</f>
        <v>5291.42</v>
      </c>
      <c r="K24" s="61">
        <f>'Volleyball - Girls'!C43-'Volleyball - Girls'!C53</f>
        <v>5536.42</v>
      </c>
      <c r="L24" s="62">
        <f t="shared" si="1"/>
        <v>-4180.03</v>
      </c>
      <c r="M24" s="57">
        <f>'Volleyball - Girls'!B2</f>
        <v>4159.6899999999996</v>
      </c>
      <c r="N24" s="57">
        <f t="shared" si="2"/>
        <v>4159.6899999999996</v>
      </c>
      <c r="O24" s="57">
        <f t="shared" si="3"/>
        <v>1131.7300000000005</v>
      </c>
      <c r="P24" s="57">
        <f t="shared" si="4"/>
        <v>0</v>
      </c>
      <c r="Q24" s="57">
        <f t="shared" si="5"/>
        <v>245</v>
      </c>
      <c r="R24" s="44"/>
      <c r="S24" s="44"/>
      <c r="T24" s="44"/>
    </row>
    <row r="25" spans="1:20" ht="14.25" customHeight="1">
      <c r="A25" s="63" t="s">
        <v>197</v>
      </c>
      <c r="B25" s="64">
        <f>'Water Polo - Boys'!F4</f>
        <v>40</v>
      </c>
      <c r="C25" s="57">
        <f t="shared" si="0"/>
        <v>354.95</v>
      </c>
      <c r="D25" s="58">
        <v>24</v>
      </c>
      <c r="E25" s="57">
        <f>'Water Polo - Boys'!C17</f>
        <v>9500</v>
      </c>
      <c r="F25" s="59">
        <v>2374</v>
      </c>
      <c r="G25" s="59">
        <f>'Water Polo - Boys'!C36-2374</f>
        <v>2374</v>
      </c>
      <c r="H25" s="59">
        <f>'Water Polo - Boys'!C56-G25</f>
        <v>350</v>
      </c>
      <c r="I25" s="60" t="s">
        <v>198</v>
      </c>
      <c r="J25" s="59">
        <f t="shared" ref="J25:J27" si="8">K25-G25-H25</f>
        <v>11474</v>
      </c>
      <c r="K25" s="61">
        <f>'Water Polo - Boys'!C43-'Water Polo - Boys'!C53</f>
        <v>14198</v>
      </c>
      <c r="L25" s="62">
        <f t="shared" si="1"/>
        <v>-4698</v>
      </c>
      <c r="M25" s="57">
        <f>'Water Polo - Boys'!B2</f>
        <v>4754.6899999999996</v>
      </c>
      <c r="N25" s="57">
        <f t="shared" si="2"/>
        <v>4754.6899999999996</v>
      </c>
      <c r="O25" s="57">
        <f t="shared" si="3"/>
        <v>6719.31</v>
      </c>
      <c r="P25" s="57">
        <f t="shared" si="4"/>
        <v>0</v>
      </c>
      <c r="Q25" s="57">
        <f t="shared" si="5"/>
        <v>350</v>
      </c>
      <c r="R25" s="44"/>
      <c r="S25" s="44"/>
      <c r="T25" s="44"/>
    </row>
    <row r="26" spans="1:20" ht="14.25" customHeight="1">
      <c r="A26" s="63" t="s">
        <v>199</v>
      </c>
      <c r="B26" s="64">
        <f>'Water Polo - Girls'!F4</f>
        <v>30</v>
      </c>
      <c r="C26" s="57">
        <f t="shared" si="0"/>
        <v>359.61266666666671</v>
      </c>
      <c r="D26" s="58">
        <v>20</v>
      </c>
      <c r="E26" s="57">
        <f>'Water Polo - Girls'!C17</f>
        <v>14037.869999999999</v>
      </c>
      <c r="F26" s="59">
        <v>0</v>
      </c>
      <c r="G26" s="59">
        <f>'Water Polo - Girls'!C36</f>
        <v>2374</v>
      </c>
      <c r="H26" s="59">
        <f>'Water Polo - Girls'!C56-G26</f>
        <v>280</v>
      </c>
      <c r="I26" s="60" t="s">
        <v>198</v>
      </c>
      <c r="J26" s="59">
        <f t="shared" si="8"/>
        <v>8134.380000000001</v>
      </c>
      <c r="K26" s="61">
        <f>'Water Polo - Girls'!C43-'Water Polo - Girls'!C53</f>
        <v>10788.380000000001</v>
      </c>
      <c r="L26" s="62">
        <f t="shared" si="1"/>
        <v>3249.489999999998</v>
      </c>
      <c r="M26" s="57">
        <f>'Water Polo - Girls'!B2</f>
        <v>7640.55</v>
      </c>
      <c r="N26" s="57">
        <f t="shared" si="2"/>
        <v>7640.55</v>
      </c>
      <c r="O26" s="57">
        <f t="shared" si="3"/>
        <v>493.83000000000084</v>
      </c>
      <c r="P26" s="57">
        <f t="shared" si="4"/>
        <v>0</v>
      </c>
      <c r="Q26" s="57">
        <f t="shared" si="5"/>
        <v>280</v>
      </c>
      <c r="R26" s="44"/>
      <c r="S26" s="44"/>
      <c r="T26" s="44"/>
    </row>
    <row r="27" spans="1:20" ht="14.25" customHeight="1">
      <c r="A27" s="65" t="s">
        <v>200</v>
      </c>
      <c r="B27" s="66">
        <f>Wrestling!F4</f>
        <v>22</v>
      </c>
      <c r="C27" s="57">
        <f t="shared" si="0"/>
        <v>603.59090909090912</v>
      </c>
      <c r="D27" s="58">
        <v>3</v>
      </c>
      <c r="E27" s="57">
        <f>Wrestling!C17</f>
        <v>6148.6</v>
      </c>
      <c r="F27" s="67">
        <v>2374</v>
      </c>
      <c r="G27" s="67">
        <f>Wrestling!C36</f>
        <v>2374</v>
      </c>
      <c r="H27" s="67">
        <f>Wrestling!C57-G27</f>
        <v>2210</v>
      </c>
      <c r="I27" s="60" t="s">
        <v>201</v>
      </c>
      <c r="J27" s="59">
        <f t="shared" si="8"/>
        <v>8695</v>
      </c>
      <c r="K27" s="68">
        <f>Wrestling!C44-Wrestling!C54</f>
        <v>13279</v>
      </c>
      <c r="L27" s="69">
        <f t="shared" si="1"/>
        <v>-7130.4</v>
      </c>
      <c r="M27" s="57">
        <f>Wrestling!B2</f>
        <v>3550.71</v>
      </c>
      <c r="N27" s="57">
        <f t="shared" si="2"/>
        <v>3550.71</v>
      </c>
      <c r="O27" s="57">
        <f t="shared" si="3"/>
        <v>5144.29</v>
      </c>
      <c r="P27" s="57">
        <f t="shared" si="4"/>
        <v>0</v>
      </c>
      <c r="Q27" s="57">
        <f t="shared" si="5"/>
        <v>2210</v>
      </c>
      <c r="R27" s="44"/>
      <c r="S27" s="44"/>
      <c r="T27" s="44"/>
    </row>
    <row r="28" spans="1:20" ht="14.25" customHeight="1">
      <c r="A28" s="70" t="s">
        <v>202</v>
      </c>
      <c r="B28" s="71">
        <f>SUM(B4:B27)</f>
        <v>1071</v>
      </c>
      <c r="C28" s="72"/>
      <c r="D28" s="73">
        <f>SUM(D3:D27)</f>
        <v>380</v>
      </c>
      <c r="E28" s="72">
        <f t="shared" ref="E28:H28" si="9">SUM(E4:E27)</f>
        <v>261377.61000000002</v>
      </c>
      <c r="F28" s="74">
        <f t="shared" si="9"/>
        <v>60543</v>
      </c>
      <c r="G28" s="74">
        <f t="shared" si="9"/>
        <v>70191</v>
      </c>
      <c r="H28" s="74">
        <f t="shared" si="9"/>
        <v>35784</v>
      </c>
      <c r="I28" s="75"/>
      <c r="J28" s="75">
        <f t="shared" ref="J28:Q28" si="10">SUM(J4:J27)</f>
        <v>291795.93599999999</v>
      </c>
      <c r="K28" s="76">
        <f t="shared" si="10"/>
        <v>381155.93599999999</v>
      </c>
      <c r="L28" s="74">
        <f t="shared" si="10"/>
        <v>-119778.326</v>
      </c>
      <c r="M28" s="72">
        <f t="shared" si="10"/>
        <v>134249.92000000001</v>
      </c>
      <c r="N28" s="74">
        <f t="shared" si="10"/>
        <v>126664.59000000003</v>
      </c>
      <c r="O28" s="74">
        <f t="shared" si="10"/>
        <v>165131.34599999999</v>
      </c>
      <c r="P28" s="74">
        <f t="shared" si="10"/>
        <v>1143.8160000000016</v>
      </c>
      <c r="Q28" s="72">
        <f t="shared" si="10"/>
        <v>35784</v>
      </c>
      <c r="R28" s="44"/>
      <c r="S28" s="44"/>
      <c r="T28" s="44"/>
    </row>
    <row r="29" spans="1:20" ht="14.25" customHeight="1">
      <c r="A29" s="77"/>
      <c r="B29" s="44"/>
      <c r="C29" s="44"/>
      <c r="D29" s="44"/>
      <c r="E29" s="59"/>
      <c r="F29" s="78" t="s">
        <v>203</v>
      </c>
      <c r="G29" s="78" t="s">
        <v>204</v>
      </c>
      <c r="H29" s="79"/>
      <c r="I29" s="24" t="s">
        <v>205</v>
      </c>
      <c r="N29" s="59"/>
      <c r="O29" s="59"/>
      <c r="P29" s="59"/>
      <c r="Q29" s="59"/>
      <c r="R29" s="44"/>
      <c r="S29" s="44"/>
      <c r="T29" s="44"/>
    </row>
    <row r="30" spans="1:20" ht="14.25" customHeight="1">
      <c r="A30" s="80"/>
      <c r="B30" s="44"/>
      <c r="C30" s="44"/>
      <c r="D30" s="44"/>
      <c r="E30" s="44"/>
      <c r="F30" s="81" t="s">
        <v>206</v>
      </c>
      <c r="G30" s="81" t="s">
        <v>206</v>
      </c>
      <c r="H30" s="82"/>
      <c r="I30" s="24" t="s">
        <v>207</v>
      </c>
      <c r="J30" s="83"/>
      <c r="K30" s="84"/>
      <c r="L30" s="85" t="s">
        <v>208</v>
      </c>
      <c r="M30" s="86"/>
      <c r="N30" s="44"/>
      <c r="O30" s="82"/>
      <c r="P30" s="82"/>
      <c r="Q30" s="82"/>
      <c r="R30" s="44"/>
      <c r="S30" s="44"/>
      <c r="T30" s="44"/>
    </row>
    <row r="31" spans="1:20" ht="14.25" customHeight="1">
      <c r="A31" s="87"/>
      <c r="B31" s="44"/>
      <c r="C31" s="44"/>
      <c r="D31" s="44"/>
      <c r="E31" s="44"/>
      <c r="F31" s="44"/>
      <c r="G31" s="44"/>
      <c r="H31" s="44"/>
      <c r="J31" s="88"/>
      <c r="K31" s="82"/>
      <c r="L31" s="79" t="s">
        <v>209</v>
      </c>
      <c r="M31" s="89">
        <v>19831.09</v>
      </c>
      <c r="N31" s="44"/>
      <c r="O31" s="44"/>
      <c r="P31" s="44"/>
      <c r="Q31" s="44"/>
      <c r="R31" s="44"/>
      <c r="S31" s="44"/>
      <c r="T31" s="44"/>
    </row>
    <row r="32" spans="1:20" ht="14.25" customHeight="1">
      <c r="A32" s="87"/>
      <c r="B32" s="90" t="s">
        <v>210</v>
      </c>
      <c r="C32" s="91"/>
      <c r="D32" s="91"/>
      <c r="E32" s="91"/>
      <c r="F32" s="92"/>
      <c r="G32" s="44"/>
      <c r="H32" s="44"/>
      <c r="I32" s="44"/>
      <c r="J32" s="93"/>
      <c r="K32" s="44"/>
      <c r="L32" s="94" t="s">
        <v>211</v>
      </c>
      <c r="M32" s="95">
        <v>2000</v>
      </c>
      <c r="N32" s="44"/>
      <c r="O32" s="44"/>
      <c r="P32" s="44"/>
      <c r="Q32" s="44"/>
      <c r="R32" s="44"/>
      <c r="S32" s="44"/>
      <c r="T32" s="44"/>
    </row>
    <row r="33" spans="1:20" ht="14.25" customHeight="1">
      <c r="A33" s="87"/>
      <c r="B33" s="96"/>
      <c r="C33" s="44"/>
      <c r="D33" s="44"/>
      <c r="E33" s="44"/>
      <c r="F33" s="97"/>
      <c r="G33" s="44"/>
      <c r="H33" s="44"/>
      <c r="I33" s="44"/>
      <c r="J33" s="93"/>
      <c r="K33" s="44"/>
      <c r="L33" s="98" t="s">
        <v>212</v>
      </c>
      <c r="M33" s="99">
        <v>3071.78</v>
      </c>
      <c r="N33" s="44"/>
      <c r="O33" s="44"/>
      <c r="P33" s="44"/>
      <c r="Q33" s="44"/>
      <c r="R33" s="44"/>
      <c r="S33" s="44"/>
      <c r="T33" s="44"/>
    </row>
    <row r="34" spans="1:20" ht="14.25" customHeight="1">
      <c r="A34" s="87"/>
      <c r="B34" s="96"/>
      <c r="C34" s="44"/>
      <c r="D34" s="44"/>
      <c r="E34" s="44"/>
      <c r="F34" s="97"/>
      <c r="G34" s="44"/>
      <c r="H34" s="44"/>
      <c r="I34" s="44"/>
      <c r="J34" s="93"/>
      <c r="K34" s="44"/>
      <c r="L34" s="98" t="s">
        <v>212</v>
      </c>
      <c r="M34" s="99">
        <v>7366.49</v>
      </c>
      <c r="N34" s="44"/>
      <c r="O34" s="44"/>
      <c r="P34" s="44"/>
      <c r="Q34" s="44"/>
      <c r="R34" s="44"/>
      <c r="S34" s="44"/>
      <c r="T34" s="44"/>
    </row>
    <row r="35" spans="1:20" ht="14.25" customHeight="1">
      <c r="A35" s="87"/>
      <c r="B35" s="96" t="s">
        <v>213</v>
      </c>
      <c r="C35" s="44"/>
      <c r="D35" s="44"/>
      <c r="E35" s="44"/>
      <c r="F35" s="97"/>
      <c r="G35" s="44"/>
      <c r="H35" s="44"/>
      <c r="I35" s="44"/>
      <c r="J35" s="100"/>
      <c r="K35" s="101"/>
      <c r="L35" s="101"/>
      <c r="M35" s="102">
        <f>M28+M31+M32++M33+M34</f>
        <v>166519.28</v>
      </c>
      <c r="N35" s="44"/>
      <c r="O35" s="44"/>
      <c r="P35" s="44"/>
      <c r="Q35" s="44"/>
      <c r="R35" s="44"/>
      <c r="S35" s="44"/>
      <c r="T35" s="44"/>
    </row>
    <row r="36" spans="1:20" ht="14.25" customHeight="1">
      <c r="A36" s="103"/>
      <c r="B36" s="104"/>
      <c r="C36" s="44"/>
      <c r="D36" s="44"/>
      <c r="E36" s="44"/>
      <c r="F36" s="97"/>
      <c r="G36" s="44"/>
      <c r="H36" s="98"/>
      <c r="I36" s="98"/>
      <c r="J36" s="98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1:20" ht="14.25" customHeight="1">
      <c r="A37" s="103"/>
      <c r="B37" s="96" t="s">
        <v>214</v>
      </c>
      <c r="C37" s="44"/>
      <c r="D37" s="44"/>
      <c r="E37" s="44"/>
      <c r="F37" s="97"/>
      <c r="G37" s="44"/>
      <c r="H37" s="98"/>
      <c r="I37" s="98"/>
      <c r="J37" s="98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1:20" ht="14.25" customHeight="1">
      <c r="A38" s="87"/>
      <c r="B38" s="104" t="s">
        <v>215</v>
      </c>
      <c r="C38" s="44"/>
      <c r="D38" s="44"/>
      <c r="E38" s="44"/>
      <c r="F38" s="97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1:20" ht="14.25" customHeight="1">
      <c r="A39" s="87"/>
      <c r="B39" s="104" t="s">
        <v>216</v>
      </c>
      <c r="C39" s="44"/>
      <c r="D39" s="44"/>
      <c r="E39" s="44"/>
      <c r="F39" s="97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</row>
    <row r="40" spans="1:20" ht="14.25" customHeight="1">
      <c r="A40" s="87"/>
      <c r="B40" s="104" t="s">
        <v>217</v>
      </c>
      <c r="C40" s="44"/>
      <c r="D40" s="44"/>
      <c r="E40" s="44"/>
      <c r="F40" s="97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1:20" ht="14.25" customHeight="1">
      <c r="A41" s="87"/>
      <c r="B41" s="104"/>
      <c r="C41" s="44"/>
      <c r="D41" s="44"/>
      <c r="E41" s="44"/>
      <c r="F41" s="97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1:20" ht="14.25" customHeight="1">
      <c r="A42" s="87"/>
      <c r="B42" s="96" t="s">
        <v>218</v>
      </c>
      <c r="C42" s="44"/>
      <c r="D42" s="44"/>
      <c r="E42" s="44"/>
      <c r="F42" s="97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1:20" ht="14.25" customHeight="1">
      <c r="A43" s="87"/>
      <c r="B43" s="104" t="s">
        <v>219</v>
      </c>
      <c r="C43" s="44"/>
      <c r="D43" s="44"/>
      <c r="E43" s="44"/>
      <c r="F43" s="97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1:20" ht="14.25" customHeight="1">
      <c r="A44" s="87"/>
      <c r="B44" s="104" t="s">
        <v>220</v>
      </c>
      <c r="C44" s="44"/>
      <c r="D44" s="44"/>
      <c r="E44" s="44"/>
      <c r="F44" s="97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1:20" ht="14.25" customHeight="1">
      <c r="A45" s="87"/>
      <c r="B45" s="104" t="s">
        <v>221</v>
      </c>
      <c r="C45" s="44"/>
      <c r="D45" s="44"/>
      <c r="E45" s="44"/>
      <c r="F45" s="97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1:20" ht="14.25" customHeight="1">
      <c r="A46" s="87"/>
      <c r="B46" s="104"/>
      <c r="C46" s="44"/>
      <c r="D46" s="44"/>
      <c r="E46" s="44"/>
      <c r="F46" s="97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</row>
    <row r="47" spans="1:20" ht="14.25" customHeight="1">
      <c r="A47" s="87"/>
      <c r="B47" s="96" t="s">
        <v>222</v>
      </c>
      <c r="C47" s="44"/>
      <c r="D47" s="44"/>
      <c r="E47" s="44"/>
      <c r="F47" s="97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</row>
    <row r="48" spans="1:20" ht="14.25" customHeight="1">
      <c r="A48" s="87"/>
      <c r="B48" s="104"/>
      <c r="C48" s="44"/>
      <c r="D48" s="44"/>
      <c r="E48" s="44"/>
      <c r="F48" s="97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</row>
    <row r="49" spans="1:20" ht="14.25" customHeight="1">
      <c r="A49" s="87"/>
      <c r="B49" s="96" t="s">
        <v>223</v>
      </c>
      <c r="C49" s="44"/>
      <c r="D49" s="44"/>
      <c r="E49" s="44"/>
      <c r="F49" s="97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</row>
    <row r="50" spans="1:20" ht="14.25" customHeight="1">
      <c r="A50" s="87"/>
      <c r="B50" s="104"/>
      <c r="C50" s="44"/>
      <c r="D50" s="44"/>
      <c r="E50" s="44"/>
      <c r="F50" s="97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1:20" ht="14.25" customHeight="1">
      <c r="A51" s="87"/>
      <c r="B51" s="96" t="s">
        <v>224</v>
      </c>
      <c r="C51" s="44"/>
      <c r="D51" s="44"/>
      <c r="E51" s="44"/>
      <c r="F51" s="97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  <row r="52" spans="1:20" ht="14.25" customHeight="1">
      <c r="A52" s="87"/>
      <c r="B52" s="105"/>
      <c r="C52" s="106"/>
      <c r="D52" s="106"/>
      <c r="E52" s="106"/>
      <c r="F52" s="107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</row>
    <row r="53" spans="1:20" ht="14.25" customHeight="1">
      <c r="A53" s="87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</row>
    <row r="54" spans="1:20" ht="14.25" customHeight="1">
      <c r="A54" s="87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</row>
    <row r="55" spans="1:20" ht="14.25" customHeight="1">
      <c r="A55" s="87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</row>
    <row r="56" spans="1:20" ht="14.25" customHeight="1">
      <c r="A56" s="46"/>
    </row>
    <row r="57" spans="1:20" ht="14.25" customHeight="1">
      <c r="A57" s="46"/>
    </row>
    <row r="58" spans="1:20" ht="14.25" customHeight="1">
      <c r="A58" s="46"/>
    </row>
    <row r="59" spans="1:20" ht="14.25" customHeight="1">
      <c r="A59" s="46"/>
    </row>
    <row r="60" spans="1:20" ht="14.25" customHeight="1">
      <c r="A60" s="46"/>
    </row>
    <row r="61" spans="1:20" ht="14.25" customHeight="1">
      <c r="A61" s="46"/>
    </row>
    <row r="62" spans="1:20" ht="14.25" customHeight="1">
      <c r="A62" s="46"/>
    </row>
    <row r="63" spans="1:20" ht="14.25" customHeight="1">
      <c r="A63" s="46"/>
    </row>
    <row r="64" spans="1:20" ht="14.25" customHeight="1">
      <c r="A64" s="46"/>
    </row>
    <row r="65" spans="1:1" ht="14.25" customHeight="1">
      <c r="A65" s="46"/>
    </row>
    <row r="66" spans="1:1" ht="14.25" customHeight="1">
      <c r="A66" s="46"/>
    </row>
    <row r="67" spans="1:1" ht="14.25" customHeight="1">
      <c r="A67" s="46"/>
    </row>
    <row r="68" spans="1:1" ht="14.25" customHeight="1">
      <c r="A68" s="46"/>
    </row>
    <row r="69" spans="1:1" ht="14.25" customHeight="1">
      <c r="A69" s="46"/>
    </row>
    <row r="70" spans="1:1" ht="14.25" customHeight="1">
      <c r="A70" s="46"/>
    </row>
    <row r="71" spans="1:1" ht="14.25" customHeight="1">
      <c r="A71" s="46"/>
    </row>
    <row r="72" spans="1:1" ht="14.25" customHeight="1">
      <c r="A72" s="46"/>
    </row>
    <row r="73" spans="1:1" ht="14.25" customHeight="1">
      <c r="A73" s="46"/>
    </row>
    <row r="74" spans="1:1" ht="14.25" customHeight="1">
      <c r="A74" s="46"/>
    </row>
    <row r="75" spans="1:1" ht="14.25" customHeight="1">
      <c r="A75" s="46"/>
    </row>
    <row r="76" spans="1:1" ht="14.25" customHeight="1">
      <c r="A76" s="46"/>
    </row>
    <row r="77" spans="1:1" ht="14.25" customHeight="1">
      <c r="A77" s="46"/>
    </row>
    <row r="78" spans="1:1" ht="14.25" customHeight="1">
      <c r="A78" s="46"/>
    </row>
    <row r="79" spans="1:1" ht="14.25" customHeight="1">
      <c r="A79" s="46"/>
    </row>
    <row r="80" spans="1:1" ht="14.25" customHeight="1">
      <c r="A80" s="46"/>
    </row>
    <row r="81" spans="1:1" ht="14.25" customHeight="1">
      <c r="A81" s="46"/>
    </row>
    <row r="82" spans="1:1" ht="14.25" customHeight="1">
      <c r="A82" s="46"/>
    </row>
    <row r="83" spans="1:1" ht="14.25" customHeight="1">
      <c r="A83" s="46"/>
    </row>
    <row r="84" spans="1:1" ht="14.25" customHeight="1">
      <c r="A84" s="46"/>
    </row>
    <row r="85" spans="1:1" ht="14.25" customHeight="1">
      <c r="A85" s="46"/>
    </row>
    <row r="86" spans="1:1" ht="14.25" customHeight="1">
      <c r="A86" s="46"/>
    </row>
    <row r="87" spans="1:1" ht="14.25" customHeight="1">
      <c r="A87" s="46"/>
    </row>
    <row r="88" spans="1:1" ht="14.25" customHeight="1">
      <c r="A88" s="46"/>
    </row>
    <row r="89" spans="1:1" ht="14.25" customHeight="1">
      <c r="A89" s="46"/>
    </row>
    <row r="90" spans="1:1" ht="14.25" customHeight="1">
      <c r="A90" s="46"/>
    </row>
    <row r="91" spans="1:1" ht="14.25" customHeight="1">
      <c r="A91" s="46"/>
    </row>
    <row r="92" spans="1:1" ht="14.25" customHeight="1">
      <c r="A92" s="46"/>
    </row>
    <row r="93" spans="1:1" ht="14.25" customHeight="1">
      <c r="A93" s="46"/>
    </row>
    <row r="94" spans="1:1" ht="14.25" customHeight="1">
      <c r="A94" s="46"/>
    </row>
    <row r="95" spans="1:1" ht="14.25" customHeight="1">
      <c r="A95" s="46"/>
    </row>
    <row r="96" spans="1:1" ht="14.25" customHeight="1">
      <c r="A96" s="46"/>
    </row>
    <row r="97" spans="1:1" ht="14.25" customHeight="1">
      <c r="A97" s="46"/>
    </row>
    <row r="98" spans="1:1" ht="14.25" customHeight="1">
      <c r="A98" s="46"/>
    </row>
    <row r="99" spans="1:1" ht="14.25" customHeight="1">
      <c r="A99" s="46"/>
    </row>
    <row r="100" spans="1:1" ht="14.25" customHeight="1">
      <c r="A100" s="46"/>
    </row>
    <row r="101" spans="1:1" ht="14.25" customHeight="1">
      <c r="A101" s="46"/>
    </row>
    <row r="102" spans="1:1" ht="14.25" customHeight="1">
      <c r="A102" s="46"/>
    </row>
    <row r="103" spans="1:1" ht="14.25" customHeight="1">
      <c r="A103" s="46"/>
    </row>
    <row r="104" spans="1:1" ht="14.25" customHeight="1">
      <c r="A104" s="46"/>
    </row>
    <row r="105" spans="1:1" ht="14.25" customHeight="1">
      <c r="A105" s="46"/>
    </row>
    <row r="106" spans="1:1" ht="14.25" customHeight="1">
      <c r="A106" s="46"/>
    </row>
    <row r="107" spans="1:1" ht="14.25" customHeight="1">
      <c r="A107" s="46"/>
    </row>
    <row r="108" spans="1:1" ht="14.25" customHeight="1">
      <c r="A108" s="46"/>
    </row>
    <row r="109" spans="1:1" ht="14.25" customHeight="1">
      <c r="A109" s="46"/>
    </row>
    <row r="110" spans="1:1" ht="14.25" customHeight="1">
      <c r="A110" s="46"/>
    </row>
    <row r="111" spans="1:1" ht="14.25" customHeight="1">
      <c r="A111" s="46"/>
    </row>
    <row r="112" spans="1:1" ht="14.25" customHeight="1">
      <c r="A112" s="46"/>
    </row>
    <row r="113" spans="1:1" ht="14.25" customHeight="1">
      <c r="A113" s="46"/>
    </row>
    <row r="114" spans="1:1" ht="14.25" customHeight="1">
      <c r="A114" s="46"/>
    </row>
    <row r="115" spans="1:1" ht="14.25" customHeight="1">
      <c r="A115" s="46"/>
    </row>
    <row r="116" spans="1:1" ht="14.25" customHeight="1">
      <c r="A116" s="46"/>
    </row>
    <row r="117" spans="1:1" ht="14.25" customHeight="1">
      <c r="A117" s="46"/>
    </row>
    <row r="118" spans="1:1" ht="14.25" customHeight="1">
      <c r="A118" s="46"/>
    </row>
    <row r="119" spans="1:1" ht="14.25" customHeight="1">
      <c r="A119" s="46"/>
    </row>
    <row r="120" spans="1:1" ht="14.25" customHeight="1">
      <c r="A120" s="46"/>
    </row>
    <row r="121" spans="1:1" ht="14.25" customHeight="1">
      <c r="A121" s="46"/>
    </row>
    <row r="122" spans="1:1" ht="14.25" customHeight="1">
      <c r="A122" s="46"/>
    </row>
    <row r="123" spans="1:1" ht="14.25" customHeight="1">
      <c r="A123" s="46"/>
    </row>
    <row r="124" spans="1:1" ht="14.25" customHeight="1">
      <c r="A124" s="46"/>
    </row>
    <row r="125" spans="1:1" ht="14.25" customHeight="1">
      <c r="A125" s="46"/>
    </row>
    <row r="126" spans="1:1" ht="14.25" customHeight="1">
      <c r="A126" s="46"/>
    </row>
    <row r="127" spans="1:1" ht="14.25" customHeight="1">
      <c r="A127" s="46"/>
    </row>
    <row r="128" spans="1:1" ht="14.25" customHeight="1">
      <c r="A128" s="46"/>
    </row>
    <row r="129" spans="1:1" ht="14.25" customHeight="1">
      <c r="A129" s="46"/>
    </row>
    <row r="130" spans="1:1" ht="14.25" customHeight="1">
      <c r="A130" s="46"/>
    </row>
    <row r="131" spans="1:1" ht="14.25" customHeight="1">
      <c r="A131" s="46"/>
    </row>
    <row r="132" spans="1:1" ht="14.25" customHeight="1">
      <c r="A132" s="46"/>
    </row>
    <row r="133" spans="1:1" ht="14.25" customHeight="1">
      <c r="A133" s="46"/>
    </row>
    <row r="134" spans="1:1" ht="14.25" customHeight="1">
      <c r="A134" s="46"/>
    </row>
    <row r="135" spans="1:1" ht="14.25" customHeight="1">
      <c r="A135" s="46"/>
    </row>
    <row r="136" spans="1:1" ht="14.25" customHeight="1">
      <c r="A136" s="46"/>
    </row>
    <row r="137" spans="1:1" ht="14.25" customHeight="1">
      <c r="A137" s="46"/>
    </row>
    <row r="138" spans="1:1" ht="14.25" customHeight="1">
      <c r="A138" s="46"/>
    </row>
    <row r="139" spans="1:1" ht="14.25" customHeight="1">
      <c r="A139" s="46"/>
    </row>
    <row r="140" spans="1:1" ht="14.25" customHeight="1">
      <c r="A140" s="46"/>
    </row>
    <row r="141" spans="1:1" ht="14.25" customHeight="1">
      <c r="A141" s="46"/>
    </row>
    <row r="142" spans="1:1" ht="14.25" customHeight="1">
      <c r="A142" s="46"/>
    </row>
    <row r="143" spans="1:1" ht="14.25" customHeight="1">
      <c r="A143" s="46"/>
    </row>
    <row r="144" spans="1:1" ht="14.25" customHeight="1">
      <c r="A144" s="46"/>
    </row>
    <row r="145" spans="1:1" ht="14.25" customHeight="1">
      <c r="A145" s="46"/>
    </row>
    <row r="146" spans="1:1" ht="14.25" customHeight="1">
      <c r="A146" s="46"/>
    </row>
    <row r="147" spans="1:1" ht="14.25" customHeight="1">
      <c r="A147" s="46"/>
    </row>
    <row r="148" spans="1:1" ht="14.25" customHeight="1">
      <c r="A148" s="46"/>
    </row>
    <row r="149" spans="1:1" ht="14.25" customHeight="1">
      <c r="A149" s="46"/>
    </row>
    <row r="150" spans="1:1" ht="14.25" customHeight="1">
      <c r="A150" s="46"/>
    </row>
    <row r="151" spans="1:1" ht="14.25" customHeight="1">
      <c r="A151" s="46"/>
    </row>
    <row r="152" spans="1:1" ht="14.25" customHeight="1">
      <c r="A152" s="46"/>
    </row>
    <row r="153" spans="1:1" ht="14.25" customHeight="1">
      <c r="A153" s="46"/>
    </row>
    <row r="154" spans="1:1" ht="14.25" customHeight="1">
      <c r="A154" s="46"/>
    </row>
    <row r="155" spans="1:1" ht="14.25" customHeight="1">
      <c r="A155" s="46"/>
    </row>
    <row r="156" spans="1:1" ht="14.25" customHeight="1">
      <c r="A156" s="46"/>
    </row>
    <row r="157" spans="1:1" ht="14.25" customHeight="1">
      <c r="A157" s="46"/>
    </row>
    <row r="158" spans="1:1" ht="14.25" customHeight="1">
      <c r="A158" s="46"/>
    </row>
    <row r="159" spans="1:1" ht="14.25" customHeight="1">
      <c r="A159" s="46"/>
    </row>
    <row r="160" spans="1:1" ht="14.25" customHeight="1">
      <c r="A160" s="46"/>
    </row>
    <row r="161" spans="1:1" ht="14.25" customHeight="1">
      <c r="A161" s="46"/>
    </row>
    <row r="162" spans="1:1" ht="14.25" customHeight="1">
      <c r="A162" s="46"/>
    </row>
    <row r="163" spans="1:1" ht="14.25" customHeight="1">
      <c r="A163" s="46"/>
    </row>
    <row r="164" spans="1:1" ht="14.25" customHeight="1">
      <c r="A164" s="46"/>
    </row>
    <row r="165" spans="1:1" ht="14.25" customHeight="1">
      <c r="A165" s="46"/>
    </row>
    <row r="166" spans="1:1" ht="14.25" customHeight="1">
      <c r="A166" s="46"/>
    </row>
    <row r="167" spans="1:1" ht="14.25" customHeight="1">
      <c r="A167" s="46"/>
    </row>
    <row r="168" spans="1:1" ht="14.25" customHeight="1">
      <c r="A168" s="46"/>
    </row>
    <row r="169" spans="1:1" ht="14.25" customHeight="1">
      <c r="A169" s="46"/>
    </row>
    <row r="170" spans="1:1" ht="14.25" customHeight="1">
      <c r="A170" s="46"/>
    </row>
    <row r="171" spans="1:1" ht="14.25" customHeight="1">
      <c r="A171" s="46"/>
    </row>
    <row r="172" spans="1:1" ht="14.25" customHeight="1">
      <c r="A172" s="46"/>
    </row>
    <row r="173" spans="1:1" ht="14.25" customHeight="1">
      <c r="A173" s="46"/>
    </row>
    <row r="174" spans="1:1" ht="14.25" customHeight="1">
      <c r="A174" s="46"/>
    </row>
    <row r="175" spans="1:1" ht="14.25" customHeight="1">
      <c r="A175" s="46"/>
    </row>
    <row r="176" spans="1:1" ht="14.25" customHeight="1">
      <c r="A176" s="46"/>
    </row>
    <row r="177" spans="1:1" ht="14.25" customHeight="1">
      <c r="A177" s="46"/>
    </row>
    <row r="178" spans="1:1" ht="14.25" customHeight="1">
      <c r="A178" s="46"/>
    </row>
    <row r="179" spans="1:1" ht="14.25" customHeight="1">
      <c r="A179" s="46"/>
    </row>
    <row r="180" spans="1:1" ht="14.25" customHeight="1">
      <c r="A180" s="46"/>
    </row>
    <row r="181" spans="1:1" ht="14.25" customHeight="1">
      <c r="A181" s="46"/>
    </row>
    <row r="182" spans="1:1" ht="14.25" customHeight="1">
      <c r="A182" s="46"/>
    </row>
    <row r="183" spans="1:1" ht="14.25" customHeight="1">
      <c r="A183" s="46"/>
    </row>
    <row r="184" spans="1:1" ht="14.25" customHeight="1">
      <c r="A184" s="46"/>
    </row>
    <row r="185" spans="1:1" ht="14.25" customHeight="1">
      <c r="A185" s="46"/>
    </row>
    <row r="186" spans="1:1" ht="14.25" customHeight="1">
      <c r="A186" s="46"/>
    </row>
    <row r="187" spans="1:1" ht="14.25" customHeight="1">
      <c r="A187" s="46"/>
    </row>
    <row r="188" spans="1:1" ht="14.25" customHeight="1">
      <c r="A188" s="46"/>
    </row>
    <row r="189" spans="1:1" ht="14.25" customHeight="1">
      <c r="A189" s="46"/>
    </row>
    <row r="190" spans="1:1" ht="14.25" customHeight="1">
      <c r="A190" s="46"/>
    </row>
    <row r="191" spans="1:1" ht="14.25" customHeight="1">
      <c r="A191" s="46"/>
    </row>
    <row r="192" spans="1:1" ht="14.25" customHeight="1">
      <c r="A192" s="46"/>
    </row>
    <row r="193" spans="1:1" ht="14.25" customHeight="1">
      <c r="A193" s="46"/>
    </row>
    <row r="194" spans="1:1" ht="14.25" customHeight="1">
      <c r="A194" s="46"/>
    </row>
    <row r="195" spans="1:1" ht="14.25" customHeight="1">
      <c r="A195" s="46"/>
    </row>
    <row r="196" spans="1:1" ht="14.25" customHeight="1">
      <c r="A196" s="46"/>
    </row>
    <row r="197" spans="1:1" ht="14.25" customHeight="1">
      <c r="A197" s="46"/>
    </row>
    <row r="198" spans="1:1" ht="14.25" customHeight="1">
      <c r="A198" s="46"/>
    </row>
    <row r="199" spans="1:1" ht="14.25" customHeight="1">
      <c r="A199" s="46"/>
    </row>
    <row r="200" spans="1:1" ht="14.25" customHeight="1">
      <c r="A200" s="46"/>
    </row>
    <row r="201" spans="1:1" ht="14.25" customHeight="1">
      <c r="A201" s="46"/>
    </row>
    <row r="202" spans="1:1" ht="14.25" customHeight="1">
      <c r="A202" s="46"/>
    </row>
    <row r="203" spans="1:1" ht="14.25" customHeight="1">
      <c r="A203" s="46"/>
    </row>
    <row r="204" spans="1:1" ht="14.25" customHeight="1">
      <c r="A204" s="46"/>
    </row>
    <row r="205" spans="1:1" ht="14.25" customHeight="1">
      <c r="A205" s="46"/>
    </row>
    <row r="206" spans="1:1" ht="14.25" customHeight="1">
      <c r="A206" s="46"/>
    </row>
    <row r="207" spans="1:1" ht="14.25" customHeight="1">
      <c r="A207" s="46"/>
    </row>
    <row r="208" spans="1:1" ht="14.25" customHeight="1">
      <c r="A208" s="46"/>
    </row>
    <row r="209" spans="1:1" ht="14.25" customHeight="1">
      <c r="A209" s="46"/>
    </row>
    <row r="210" spans="1:1" ht="14.25" customHeight="1">
      <c r="A210" s="46"/>
    </row>
    <row r="211" spans="1:1" ht="14.25" customHeight="1">
      <c r="A211" s="46"/>
    </row>
    <row r="212" spans="1:1" ht="14.25" customHeight="1">
      <c r="A212" s="46"/>
    </row>
    <row r="213" spans="1:1" ht="14.25" customHeight="1">
      <c r="A213" s="46"/>
    </row>
    <row r="214" spans="1:1" ht="14.25" customHeight="1">
      <c r="A214" s="46"/>
    </row>
    <row r="215" spans="1:1" ht="14.25" customHeight="1">
      <c r="A215" s="46"/>
    </row>
    <row r="216" spans="1:1" ht="14.25" customHeight="1">
      <c r="A216" s="46"/>
    </row>
    <row r="217" spans="1:1" ht="14.25" customHeight="1">
      <c r="A217" s="46"/>
    </row>
    <row r="218" spans="1:1" ht="14.25" customHeight="1">
      <c r="A218" s="46"/>
    </row>
    <row r="219" spans="1:1" ht="14.25" customHeight="1">
      <c r="A219" s="46"/>
    </row>
    <row r="220" spans="1:1" ht="14.25" customHeight="1">
      <c r="A220" s="46"/>
    </row>
    <row r="221" spans="1:1" ht="14.25" customHeight="1">
      <c r="A221" s="46"/>
    </row>
    <row r="222" spans="1:1" ht="14.25" customHeight="1">
      <c r="A222" s="46"/>
    </row>
    <row r="223" spans="1:1" ht="14.25" customHeight="1">
      <c r="A223" s="46"/>
    </row>
    <row r="224" spans="1:1" ht="14.25" customHeight="1">
      <c r="A224" s="46"/>
    </row>
    <row r="225" spans="1:1" ht="14.25" customHeight="1">
      <c r="A225" s="46"/>
    </row>
    <row r="226" spans="1:1" ht="14.25" customHeight="1">
      <c r="A226" s="46"/>
    </row>
    <row r="227" spans="1:1" ht="14.25" customHeight="1">
      <c r="A227" s="46"/>
    </row>
    <row r="228" spans="1:1" ht="14.25" customHeight="1">
      <c r="A228" s="46"/>
    </row>
    <row r="229" spans="1:1" ht="14.25" customHeight="1">
      <c r="A229" s="46"/>
    </row>
    <row r="230" spans="1:1" ht="14.25" customHeight="1">
      <c r="A230" s="46"/>
    </row>
    <row r="231" spans="1:1" ht="14.25" customHeight="1">
      <c r="A231" s="46"/>
    </row>
    <row r="232" spans="1:1" ht="14.25" customHeight="1">
      <c r="A232" s="46"/>
    </row>
    <row r="233" spans="1:1" ht="14.25" customHeight="1">
      <c r="A233" s="46"/>
    </row>
    <row r="234" spans="1:1" ht="14.25" customHeight="1">
      <c r="A234" s="46"/>
    </row>
    <row r="235" spans="1:1" ht="14.25" customHeight="1">
      <c r="A235" s="46"/>
    </row>
    <row r="236" spans="1:1" ht="14.25" customHeight="1">
      <c r="A236" s="46"/>
    </row>
    <row r="237" spans="1:1" ht="14.25" customHeight="1">
      <c r="A237" s="46"/>
    </row>
    <row r="238" spans="1:1" ht="14.25" customHeight="1">
      <c r="A238" s="46"/>
    </row>
    <row r="239" spans="1:1" ht="14.25" customHeight="1">
      <c r="A239" s="46"/>
    </row>
    <row r="240" spans="1:1" ht="14.25" customHeight="1">
      <c r="A240" s="46"/>
    </row>
    <row r="241" spans="1:1" ht="14.25" customHeight="1">
      <c r="A241" s="46"/>
    </row>
    <row r="242" spans="1:1" ht="14.25" customHeight="1">
      <c r="A242" s="46"/>
    </row>
    <row r="243" spans="1:1" ht="14.25" customHeight="1">
      <c r="A243" s="46"/>
    </row>
    <row r="244" spans="1:1" ht="14.25" customHeight="1">
      <c r="A244" s="46"/>
    </row>
    <row r="245" spans="1:1" ht="14.25" customHeight="1">
      <c r="A245" s="46"/>
    </row>
    <row r="246" spans="1:1" ht="14.25" customHeight="1">
      <c r="A246" s="46"/>
    </row>
    <row r="247" spans="1:1" ht="14.25" customHeight="1">
      <c r="A247" s="46"/>
    </row>
    <row r="248" spans="1:1" ht="14.25" customHeight="1">
      <c r="A248" s="46"/>
    </row>
    <row r="249" spans="1:1" ht="14.25" customHeight="1">
      <c r="A249" s="46"/>
    </row>
    <row r="250" spans="1:1" ht="14.25" customHeight="1">
      <c r="A250" s="46"/>
    </row>
    <row r="251" spans="1:1" ht="14.25" customHeight="1">
      <c r="A251" s="46"/>
    </row>
    <row r="252" spans="1:1" ht="14.25" customHeight="1">
      <c r="A252" s="46"/>
    </row>
    <row r="253" spans="1:1" ht="14.25" customHeight="1">
      <c r="A253" s="46"/>
    </row>
    <row r="254" spans="1:1" ht="14.25" customHeight="1">
      <c r="A254" s="46"/>
    </row>
    <row r="255" spans="1:1" ht="14.25" customHeight="1">
      <c r="A255" s="46"/>
    </row>
    <row r="256" spans="1:1" ht="14.25" customHeight="1">
      <c r="A256" s="46"/>
    </row>
    <row r="257" spans="1:1" ht="14.25" customHeight="1">
      <c r="A257" s="46"/>
    </row>
    <row r="258" spans="1:1" ht="14.25" customHeight="1">
      <c r="A258" s="46"/>
    </row>
    <row r="259" spans="1:1" ht="14.25" customHeight="1">
      <c r="A259" s="46"/>
    </row>
    <row r="260" spans="1:1" ht="14.25" customHeight="1">
      <c r="A260" s="46"/>
    </row>
    <row r="261" spans="1:1" ht="14.25" customHeight="1">
      <c r="A261" s="46"/>
    </row>
    <row r="262" spans="1:1" ht="14.25" customHeight="1">
      <c r="A262" s="46"/>
    </row>
    <row r="263" spans="1:1" ht="14.25" customHeight="1">
      <c r="A263" s="46"/>
    </row>
    <row r="264" spans="1:1" ht="14.25" customHeight="1">
      <c r="A264" s="46"/>
    </row>
    <row r="265" spans="1:1" ht="14.25" customHeight="1">
      <c r="A265" s="46"/>
    </row>
    <row r="266" spans="1:1" ht="14.25" customHeight="1">
      <c r="A266" s="46"/>
    </row>
    <row r="267" spans="1:1" ht="14.25" customHeight="1">
      <c r="A267" s="46"/>
    </row>
    <row r="268" spans="1:1" ht="14.25" customHeight="1">
      <c r="A268" s="46"/>
    </row>
    <row r="269" spans="1:1" ht="14.25" customHeight="1">
      <c r="A269" s="46"/>
    </row>
    <row r="270" spans="1:1" ht="14.25" customHeight="1">
      <c r="A270" s="46"/>
    </row>
    <row r="271" spans="1:1" ht="14.25" customHeight="1">
      <c r="A271" s="46"/>
    </row>
    <row r="272" spans="1:1" ht="14.25" customHeight="1">
      <c r="A272" s="46"/>
    </row>
    <row r="273" spans="1:1" ht="14.25" customHeight="1">
      <c r="A273" s="46"/>
    </row>
    <row r="274" spans="1:1" ht="14.25" customHeight="1">
      <c r="A274" s="46"/>
    </row>
    <row r="275" spans="1:1" ht="14.25" customHeight="1">
      <c r="A275" s="46"/>
    </row>
    <row r="276" spans="1:1" ht="14.25" customHeight="1">
      <c r="A276" s="46"/>
    </row>
    <row r="277" spans="1:1" ht="14.25" customHeight="1">
      <c r="A277" s="46"/>
    </row>
    <row r="278" spans="1:1" ht="14.25" customHeight="1">
      <c r="A278" s="46"/>
    </row>
    <row r="279" spans="1:1" ht="14.25" customHeight="1">
      <c r="A279" s="46"/>
    </row>
    <row r="280" spans="1:1" ht="14.25" customHeight="1">
      <c r="A280" s="46"/>
    </row>
    <row r="281" spans="1:1" ht="14.25" customHeight="1">
      <c r="A281" s="46"/>
    </row>
    <row r="282" spans="1:1" ht="14.25" customHeight="1">
      <c r="A282" s="46"/>
    </row>
    <row r="283" spans="1:1" ht="14.25" customHeight="1">
      <c r="A283" s="46"/>
    </row>
    <row r="284" spans="1:1" ht="14.25" customHeight="1">
      <c r="A284" s="46"/>
    </row>
    <row r="285" spans="1:1" ht="14.25" customHeight="1">
      <c r="A285" s="46"/>
    </row>
    <row r="286" spans="1:1" ht="14.25" customHeight="1">
      <c r="A286" s="46"/>
    </row>
    <row r="287" spans="1:1" ht="14.25" customHeight="1">
      <c r="A287" s="46"/>
    </row>
    <row r="288" spans="1:1" ht="14.25" customHeight="1">
      <c r="A288" s="46"/>
    </row>
    <row r="289" spans="1:1" ht="14.25" customHeight="1">
      <c r="A289" s="46"/>
    </row>
    <row r="290" spans="1:1" ht="14.25" customHeight="1">
      <c r="A290" s="46"/>
    </row>
    <row r="291" spans="1:1" ht="14.25" customHeight="1">
      <c r="A291" s="46"/>
    </row>
    <row r="292" spans="1:1" ht="14.25" customHeight="1">
      <c r="A292" s="46"/>
    </row>
    <row r="293" spans="1:1" ht="14.25" customHeight="1">
      <c r="A293" s="46"/>
    </row>
    <row r="294" spans="1:1" ht="14.25" customHeight="1">
      <c r="A294" s="46"/>
    </row>
    <row r="295" spans="1:1" ht="14.25" customHeight="1">
      <c r="A295" s="46"/>
    </row>
    <row r="296" spans="1:1" ht="14.25" customHeight="1">
      <c r="A296" s="46"/>
    </row>
    <row r="297" spans="1:1" ht="14.25" customHeight="1">
      <c r="A297" s="46"/>
    </row>
    <row r="298" spans="1:1" ht="14.25" customHeight="1">
      <c r="A298" s="46"/>
    </row>
    <row r="299" spans="1:1" ht="14.25" customHeight="1">
      <c r="A299" s="46"/>
    </row>
    <row r="300" spans="1:1" ht="14.25" customHeight="1">
      <c r="A300" s="46"/>
    </row>
    <row r="301" spans="1:1" ht="14.25" customHeight="1">
      <c r="A301" s="46"/>
    </row>
    <row r="302" spans="1:1" ht="14.25" customHeight="1">
      <c r="A302" s="46"/>
    </row>
    <row r="303" spans="1:1" ht="14.25" customHeight="1">
      <c r="A303" s="46"/>
    </row>
    <row r="304" spans="1:1" ht="14.25" customHeight="1">
      <c r="A304" s="46"/>
    </row>
    <row r="305" spans="1:1" ht="14.25" customHeight="1">
      <c r="A305" s="46"/>
    </row>
    <row r="306" spans="1:1" ht="14.25" customHeight="1">
      <c r="A306" s="46"/>
    </row>
    <row r="307" spans="1:1" ht="14.25" customHeight="1">
      <c r="A307" s="46"/>
    </row>
    <row r="308" spans="1:1" ht="14.25" customHeight="1">
      <c r="A308" s="46"/>
    </row>
    <row r="309" spans="1:1" ht="14.25" customHeight="1">
      <c r="A309" s="46"/>
    </row>
    <row r="310" spans="1:1" ht="14.25" customHeight="1">
      <c r="A310" s="46"/>
    </row>
    <row r="311" spans="1:1" ht="14.25" customHeight="1">
      <c r="A311" s="46"/>
    </row>
    <row r="312" spans="1:1" ht="14.25" customHeight="1">
      <c r="A312" s="46"/>
    </row>
    <row r="313" spans="1:1" ht="14.25" customHeight="1">
      <c r="A313" s="46"/>
    </row>
    <row r="314" spans="1:1" ht="14.25" customHeight="1">
      <c r="A314" s="46"/>
    </row>
    <row r="315" spans="1:1" ht="14.25" customHeight="1">
      <c r="A315" s="46"/>
    </row>
    <row r="316" spans="1:1" ht="14.25" customHeight="1">
      <c r="A316" s="46"/>
    </row>
    <row r="317" spans="1:1" ht="14.25" customHeight="1">
      <c r="A317" s="46"/>
    </row>
    <row r="318" spans="1:1" ht="14.25" customHeight="1">
      <c r="A318" s="46"/>
    </row>
    <row r="319" spans="1:1" ht="14.25" customHeight="1">
      <c r="A319" s="46"/>
    </row>
    <row r="320" spans="1:1" ht="14.25" customHeight="1">
      <c r="A320" s="46"/>
    </row>
    <row r="321" spans="1:1" ht="14.25" customHeight="1">
      <c r="A321" s="46"/>
    </row>
    <row r="322" spans="1:1" ht="14.25" customHeight="1">
      <c r="A322" s="46"/>
    </row>
    <row r="323" spans="1:1" ht="14.25" customHeight="1">
      <c r="A323" s="46"/>
    </row>
    <row r="324" spans="1:1" ht="14.25" customHeight="1">
      <c r="A324" s="46"/>
    </row>
    <row r="325" spans="1:1" ht="14.25" customHeight="1">
      <c r="A325" s="46"/>
    </row>
    <row r="326" spans="1:1" ht="14.25" customHeight="1">
      <c r="A326" s="46"/>
    </row>
    <row r="327" spans="1:1" ht="14.25" customHeight="1">
      <c r="A327" s="46"/>
    </row>
    <row r="328" spans="1:1" ht="14.25" customHeight="1">
      <c r="A328" s="46"/>
    </row>
    <row r="329" spans="1:1" ht="14.25" customHeight="1">
      <c r="A329" s="46"/>
    </row>
    <row r="330" spans="1:1" ht="14.25" customHeight="1">
      <c r="A330" s="46"/>
    </row>
    <row r="331" spans="1:1" ht="14.25" customHeight="1">
      <c r="A331" s="46"/>
    </row>
    <row r="332" spans="1:1" ht="14.25" customHeight="1">
      <c r="A332" s="46"/>
    </row>
    <row r="333" spans="1:1" ht="14.25" customHeight="1">
      <c r="A333" s="46"/>
    </row>
    <row r="334" spans="1:1" ht="14.25" customHeight="1">
      <c r="A334" s="46"/>
    </row>
    <row r="335" spans="1:1" ht="14.25" customHeight="1">
      <c r="A335" s="46"/>
    </row>
    <row r="336" spans="1:1" ht="14.25" customHeight="1">
      <c r="A336" s="46"/>
    </row>
    <row r="337" spans="1:1" ht="14.25" customHeight="1">
      <c r="A337" s="46"/>
    </row>
    <row r="338" spans="1:1" ht="14.25" customHeight="1">
      <c r="A338" s="46"/>
    </row>
    <row r="339" spans="1:1" ht="14.25" customHeight="1">
      <c r="A339" s="46"/>
    </row>
    <row r="340" spans="1:1" ht="14.25" customHeight="1">
      <c r="A340" s="46"/>
    </row>
    <row r="341" spans="1:1" ht="14.25" customHeight="1">
      <c r="A341" s="46"/>
    </row>
    <row r="342" spans="1:1" ht="14.25" customHeight="1">
      <c r="A342" s="46"/>
    </row>
    <row r="343" spans="1:1" ht="14.25" customHeight="1">
      <c r="A343" s="46"/>
    </row>
    <row r="344" spans="1:1" ht="14.25" customHeight="1">
      <c r="A344" s="46"/>
    </row>
    <row r="345" spans="1:1" ht="14.25" customHeight="1">
      <c r="A345" s="46"/>
    </row>
    <row r="346" spans="1:1" ht="14.25" customHeight="1">
      <c r="A346" s="46"/>
    </row>
    <row r="347" spans="1:1" ht="14.25" customHeight="1">
      <c r="A347" s="46"/>
    </row>
    <row r="348" spans="1:1" ht="14.25" customHeight="1">
      <c r="A348" s="46"/>
    </row>
    <row r="349" spans="1:1" ht="14.25" customHeight="1">
      <c r="A349" s="46"/>
    </row>
    <row r="350" spans="1:1" ht="14.25" customHeight="1">
      <c r="A350" s="46"/>
    </row>
    <row r="351" spans="1:1" ht="14.25" customHeight="1">
      <c r="A351" s="46"/>
    </row>
    <row r="352" spans="1:1" ht="14.25" customHeight="1">
      <c r="A352" s="46"/>
    </row>
    <row r="353" spans="1:1" ht="14.25" customHeight="1">
      <c r="A353" s="46"/>
    </row>
    <row r="354" spans="1:1" ht="14.25" customHeight="1">
      <c r="A354" s="46"/>
    </row>
    <row r="355" spans="1:1" ht="14.25" customHeight="1">
      <c r="A355" s="46"/>
    </row>
    <row r="356" spans="1:1" ht="14.25" customHeight="1">
      <c r="A356" s="46"/>
    </row>
    <row r="357" spans="1:1" ht="14.25" customHeight="1">
      <c r="A357" s="46"/>
    </row>
    <row r="358" spans="1:1" ht="14.25" customHeight="1">
      <c r="A358" s="46"/>
    </row>
    <row r="359" spans="1:1" ht="14.25" customHeight="1">
      <c r="A359" s="46"/>
    </row>
    <row r="360" spans="1:1" ht="14.25" customHeight="1">
      <c r="A360" s="46"/>
    </row>
    <row r="361" spans="1:1" ht="14.25" customHeight="1">
      <c r="A361" s="46"/>
    </row>
    <row r="362" spans="1:1" ht="14.25" customHeight="1">
      <c r="A362" s="46"/>
    </row>
    <row r="363" spans="1:1" ht="14.25" customHeight="1">
      <c r="A363" s="46"/>
    </row>
    <row r="364" spans="1:1" ht="14.25" customHeight="1">
      <c r="A364" s="46"/>
    </row>
    <row r="365" spans="1:1" ht="14.25" customHeight="1">
      <c r="A365" s="46"/>
    </row>
    <row r="366" spans="1:1" ht="14.25" customHeight="1">
      <c r="A366" s="46"/>
    </row>
    <row r="367" spans="1:1" ht="14.25" customHeight="1">
      <c r="A367" s="46"/>
    </row>
    <row r="368" spans="1:1" ht="14.25" customHeight="1">
      <c r="A368" s="46"/>
    </row>
    <row r="369" spans="1:1" ht="14.25" customHeight="1">
      <c r="A369" s="46"/>
    </row>
    <row r="370" spans="1:1" ht="14.25" customHeight="1">
      <c r="A370" s="46"/>
    </row>
    <row r="371" spans="1:1" ht="14.25" customHeight="1">
      <c r="A371" s="46"/>
    </row>
    <row r="372" spans="1:1" ht="14.25" customHeight="1">
      <c r="A372" s="46"/>
    </row>
    <row r="373" spans="1:1" ht="14.25" customHeight="1">
      <c r="A373" s="46"/>
    </row>
    <row r="374" spans="1:1" ht="14.25" customHeight="1">
      <c r="A374" s="46"/>
    </row>
    <row r="375" spans="1:1" ht="14.25" customHeight="1">
      <c r="A375" s="46"/>
    </row>
    <row r="376" spans="1:1" ht="14.25" customHeight="1">
      <c r="A376" s="46"/>
    </row>
    <row r="377" spans="1:1" ht="14.25" customHeight="1">
      <c r="A377" s="46"/>
    </row>
    <row r="378" spans="1:1" ht="14.25" customHeight="1">
      <c r="A378" s="46"/>
    </row>
    <row r="379" spans="1:1" ht="14.25" customHeight="1">
      <c r="A379" s="46"/>
    </row>
    <row r="380" spans="1:1" ht="14.25" customHeight="1">
      <c r="A380" s="46"/>
    </row>
    <row r="381" spans="1:1" ht="14.25" customHeight="1">
      <c r="A381" s="46"/>
    </row>
    <row r="382" spans="1:1" ht="14.25" customHeight="1">
      <c r="A382" s="46"/>
    </row>
    <row r="383" spans="1:1" ht="14.25" customHeight="1">
      <c r="A383" s="46"/>
    </row>
    <row r="384" spans="1:1" ht="14.25" customHeight="1">
      <c r="A384" s="46"/>
    </row>
    <row r="385" spans="1:1" ht="14.25" customHeight="1">
      <c r="A385" s="46"/>
    </row>
    <row r="386" spans="1:1" ht="14.25" customHeight="1">
      <c r="A386" s="46"/>
    </row>
    <row r="387" spans="1:1" ht="14.25" customHeight="1">
      <c r="A387" s="46"/>
    </row>
    <row r="388" spans="1:1" ht="14.25" customHeight="1">
      <c r="A388" s="46"/>
    </row>
    <row r="389" spans="1:1" ht="14.25" customHeight="1">
      <c r="A389" s="46"/>
    </row>
    <row r="390" spans="1:1" ht="14.25" customHeight="1">
      <c r="A390" s="46"/>
    </row>
    <row r="391" spans="1:1" ht="14.25" customHeight="1">
      <c r="A391" s="46"/>
    </row>
    <row r="392" spans="1:1" ht="14.25" customHeight="1">
      <c r="A392" s="46"/>
    </row>
    <row r="393" spans="1:1" ht="14.25" customHeight="1">
      <c r="A393" s="46"/>
    </row>
    <row r="394" spans="1:1" ht="14.25" customHeight="1">
      <c r="A394" s="46"/>
    </row>
    <row r="395" spans="1:1" ht="14.25" customHeight="1">
      <c r="A395" s="46"/>
    </row>
    <row r="396" spans="1:1" ht="14.25" customHeight="1">
      <c r="A396" s="46"/>
    </row>
    <row r="397" spans="1:1" ht="14.25" customHeight="1">
      <c r="A397" s="46"/>
    </row>
    <row r="398" spans="1:1" ht="14.25" customHeight="1">
      <c r="A398" s="46"/>
    </row>
    <row r="399" spans="1:1" ht="14.25" customHeight="1">
      <c r="A399" s="46"/>
    </row>
    <row r="400" spans="1:1" ht="14.25" customHeight="1">
      <c r="A400" s="46"/>
    </row>
    <row r="401" spans="1:1" ht="14.25" customHeight="1">
      <c r="A401" s="46"/>
    </row>
    <row r="402" spans="1:1" ht="14.25" customHeight="1">
      <c r="A402" s="46"/>
    </row>
    <row r="403" spans="1:1" ht="14.25" customHeight="1">
      <c r="A403" s="46"/>
    </row>
    <row r="404" spans="1:1" ht="14.25" customHeight="1">
      <c r="A404" s="46"/>
    </row>
    <row r="405" spans="1:1" ht="14.25" customHeight="1">
      <c r="A405" s="46"/>
    </row>
    <row r="406" spans="1:1" ht="14.25" customHeight="1">
      <c r="A406" s="46"/>
    </row>
    <row r="407" spans="1:1" ht="14.25" customHeight="1">
      <c r="A407" s="46"/>
    </row>
    <row r="408" spans="1:1" ht="14.25" customHeight="1">
      <c r="A408" s="46"/>
    </row>
    <row r="409" spans="1:1" ht="14.25" customHeight="1">
      <c r="A409" s="46"/>
    </row>
    <row r="410" spans="1:1" ht="14.25" customHeight="1">
      <c r="A410" s="46"/>
    </row>
    <row r="411" spans="1:1" ht="14.25" customHeight="1">
      <c r="A411" s="46"/>
    </row>
    <row r="412" spans="1:1" ht="14.25" customHeight="1">
      <c r="A412" s="46"/>
    </row>
    <row r="413" spans="1:1" ht="14.25" customHeight="1">
      <c r="A413" s="46"/>
    </row>
    <row r="414" spans="1:1" ht="14.25" customHeight="1">
      <c r="A414" s="46"/>
    </row>
    <row r="415" spans="1:1" ht="14.25" customHeight="1">
      <c r="A415" s="46"/>
    </row>
    <row r="416" spans="1:1" ht="14.25" customHeight="1">
      <c r="A416" s="46"/>
    </row>
    <row r="417" spans="1:1" ht="14.25" customHeight="1">
      <c r="A417" s="46"/>
    </row>
    <row r="418" spans="1:1" ht="14.25" customHeight="1">
      <c r="A418" s="46"/>
    </row>
    <row r="419" spans="1:1" ht="14.25" customHeight="1">
      <c r="A419" s="46"/>
    </row>
    <row r="420" spans="1:1" ht="14.25" customHeight="1">
      <c r="A420" s="46"/>
    </row>
    <row r="421" spans="1:1" ht="14.25" customHeight="1">
      <c r="A421" s="46"/>
    </row>
    <row r="422" spans="1:1" ht="14.25" customHeight="1">
      <c r="A422" s="46"/>
    </row>
    <row r="423" spans="1:1" ht="14.25" customHeight="1">
      <c r="A423" s="46"/>
    </row>
    <row r="424" spans="1:1" ht="14.25" customHeight="1">
      <c r="A424" s="46"/>
    </row>
    <row r="425" spans="1:1" ht="14.25" customHeight="1">
      <c r="A425" s="46"/>
    </row>
    <row r="426" spans="1:1" ht="14.25" customHeight="1">
      <c r="A426" s="46"/>
    </row>
    <row r="427" spans="1:1" ht="14.25" customHeight="1">
      <c r="A427" s="46"/>
    </row>
    <row r="428" spans="1:1" ht="14.25" customHeight="1">
      <c r="A428" s="46"/>
    </row>
    <row r="429" spans="1:1" ht="14.25" customHeight="1">
      <c r="A429" s="46"/>
    </row>
    <row r="430" spans="1:1" ht="14.25" customHeight="1">
      <c r="A430" s="46"/>
    </row>
    <row r="431" spans="1:1" ht="14.25" customHeight="1">
      <c r="A431" s="46"/>
    </row>
    <row r="432" spans="1:1" ht="14.25" customHeight="1">
      <c r="A432" s="46"/>
    </row>
    <row r="433" spans="1:1" ht="14.25" customHeight="1">
      <c r="A433" s="46"/>
    </row>
    <row r="434" spans="1:1" ht="14.25" customHeight="1">
      <c r="A434" s="46"/>
    </row>
    <row r="435" spans="1:1" ht="14.25" customHeight="1">
      <c r="A435" s="46"/>
    </row>
    <row r="436" spans="1:1" ht="14.25" customHeight="1">
      <c r="A436" s="46"/>
    </row>
    <row r="437" spans="1:1" ht="14.25" customHeight="1">
      <c r="A437" s="46"/>
    </row>
    <row r="438" spans="1:1" ht="14.25" customHeight="1">
      <c r="A438" s="46"/>
    </row>
    <row r="439" spans="1:1" ht="14.25" customHeight="1">
      <c r="A439" s="46"/>
    </row>
    <row r="440" spans="1:1" ht="14.25" customHeight="1">
      <c r="A440" s="46"/>
    </row>
    <row r="441" spans="1:1" ht="14.25" customHeight="1">
      <c r="A441" s="46"/>
    </row>
    <row r="442" spans="1:1" ht="14.25" customHeight="1">
      <c r="A442" s="46"/>
    </row>
    <row r="443" spans="1:1" ht="14.25" customHeight="1">
      <c r="A443" s="46"/>
    </row>
    <row r="444" spans="1:1" ht="14.25" customHeight="1">
      <c r="A444" s="46"/>
    </row>
    <row r="445" spans="1:1" ht="14.25" customHeight="1">
      <c r="A445" s="46"/>
    </row>
    <row r="446" spans="1:1" ht="14.25" customHeight="1">
      <c r="A446" s="46"/>
    </row>
    <row r="447" spans="1:1" ht="14.25" customHeight="1">
      <c r="A447" s="46"/>
    </row>
    <row r="448" spans="1:1" ht="14.25" customHeight="1">
      <c r="A448" s="46"/>
    </row>
    <row r="449" spans="1:1" ht="14.25" customHeight="1">
      <c r="A449" s="46"/>
    </row>
    <row r="450" spans="1:1" ht="14.25" customHeight="1">
      <c r="A450" s="46"/>
    </row>
    <row r="451" spans="1:1" ht="14.25" customHeight="1">
      <c r="A451" s="46"/>
    </row>
    <row r="452" spans="1:1" ht="14.25" customHeight="1">
      <c r="A452" s="46"/>
    </row>
    <row r="453" spans="1:1" ht="14.25" customHeight="1">
      <c r="A453" s="46"/>
    </row>
    <row r="454" spans="1:1" ht="14.25" customHeight="1">
      <c r="A454" s="46"/>
    </row>
    <row r="455" spans="1:1" ht="14.25" customHeight="1">
      <c r="A455" s="46"/>
    </row>
    <row r="456" spans="1:1" ht="14.25" customHeight="1">
      <c r="A456" s="46"/>
    </row>
    <row r="457" spans="1:1" ht="14.25" customHeight="1">
      <c r="A457" s="46"/>
    </row>
    <row r="458" spans="1:1" ht="14.25" customHeight="1">
      <c r="A458" s="46"/>
    </row>
    <row r="459" spans="1:1" ht="14.25" customHeight="1">
      <c r="A459" s="46"/>
    </row>
    <row r="460" spans="1:1" ht="14.25" customHeight="1">
      <c r="A460" s="46"/>
    </row>
    <row r="461" spans="1:1" ht="14.25" customHeight="1">
      <c r="A461" s="46"/>
    </row>
    <row r="462" spans="1:1" ht="14.25" customHeight="1">
      <c r="A462" s="46"/>
    </row>
    <row r="463" spans="1:1" ht="14.25" customHeight="1">
      <c r="A463" s="46"/>
    </row>
    <row r="464" spans="1:1" ht="14.25" customHeight="1">
      <c r="A464" s="46"/>
    </row>
    <row r="465" spans="1:1" ht="14.25" customHeight="1">
      <c r="A465" s="46"/>
    </row>
    <row r="466" spans="1:1" ht="14.25" customHeight="1">
      <c r="A466" s="46"/>
    </row>
    <row r="467" spans="1:1" ht="14.25" customHeight="1">
      <c r="A467" s="46"/>
    </row>
    <row r="468" spans="1:1" ht="14.25" customHeight="1">
      <c r="A468" s="46"/>
    </row>
    <row r="469" spans="1:1" ht="14.25" customHeight="1">
      <c r="A469" s="46"/>
    </row>
    <row r="470" spans="1:1" ht="14.25" customHeight="1">
      <c r="A470" s="46"/>
    </row>
    <row r="471" spans="1:1" ht="14.25" customHeight="1">
      <c r="A471" s="46"/>
    </row>
    <row r="472" spans="1:1" ht="14.25" customHeight="1">
      <c r="A472" s="46"/>
    </row>
    <row r="473" spans="1:1" ht="14.25" customHeight="1">
      <c r="A473" s="46"/>
    </row>
    <row r="474" spans="1:1" ht="14.25" customHeight="1">
      <c r="A474" s="46"/>
    </row>
    <row r="475" spans="1:1" ht="14.25" customHeight="1">
      <c r="A475" s="46"/>
    </row>
    <row r="476" spans="1:1" ht="14.25" customHeight="1">
      <c r="A476" s="46"/>
    </row>
    <row r="477" spans="1:1" ht="14.25" customHeight="1">
      <c r="A477" s="46"/>
    </row>
    <row r="478" spans="1:1" ht="14.25" customHeight="1">
      <c r="A478" s="46"/>
    </row>
    <row r="479" spans="1:1" ht="14.25" customHeight="1">
      <c r="A479" s="46"/>
    </row>
    <row r="480" spans="1:1" ht="14.25" customHeight="1">
      <c r="A480" s="46"/>
    </row>
    <row r="481" spans="1:1" ht="14.25" customHeight="1">
      <c r="A481" s="46"/>
    </row>
    <row r="482" spans="1:1" ht="14.25" customHeight="1">
      <c r="A482" s="46"/>
    </row>
    <row r="483" spans="1:1" ht="14.25" customHeight="1">
      <c r="A483" s="46"/>
    </row>
    <row r="484" spans="1:1" ht="14.25" customHeight="1">
      <c r="A484" s="46"/>
    </row>
    <row r="485" spans="1:1" ht="14.25" customHeight="1">
      <c r="A485" s="46"/>
    </row>
    <row r="486" spans="1:1" ht="14.25" customHeight="1">
      <c r="A486" s="46"/>
    </row>
    <row r="487" spans="1:1" ht="14.25" customHeight="1">
      <c r="A487" s="46"/>
    </row>
    <row r="488" spans="1:1" ht="14.25" customHeight="1">
      <c r="A488" s="46"/>
    </row>
    <row r="489" spans="1:1" ht="14.25" customHeight="1">
      <c r="A489" s="46"/>
    </row>
    <row r="490" spans="1:1" ht="14.25" customHeight="1">
      <c r="A490" s="46"/>
    </row>
    <row r="491" spans="1:1" ht="14.25" customHeight="1">
      <c r="A491" s="46"/>
    </row>
    <row r="492" spans="1:1" ht="14.25" customHeight="1">
      <c r="A492" s="46"/>
    </row>
    <row r="493" spans="1:1" ht="14.25" customHeight="1">
      <c r="A493" s="46"/>
    </row>
    <row r="494" spans="1:1" ht="14.25" customHeight="1">
      <c r="A494" s="46"/>
    </row>
    <row r="495" spans="1:1" ht="14.25" customHeight="1">
      <c r="A495" s="46"/>
    </row>
    <row r="496" spans="1:1" ht="14.25" customHeight="1">
      <c r="A496" s="46"/>
    </row>
    <row r="497" spans="1:1" ht="14.25" customHeight="1">
      <c r="A497" s="46"/>
    </row>
    <row r="498" spans="1:1" ht="14.25" customHeight="1">
      <c r="A498" s="46"/>
    </row>
    <row r="499" spans="1:1" ht="14.25" customHeight="1">
      <c r="A499" s="46"/>
    </row>
    <row r="500" spans="1:1" ht="14.25" customHeight="1">
      <c r="A500" s="46"/>
    </row>
    <row r="501" spans="1:1" ht="14.25" customHeight="1">
      <c r="A501" s="46"/>
    </row>
    <row r="502" spans="1:1" ht="14.25" customHeight="1">
      <c r="A502" s="46"/>
    </row>
    <row r="503" spans="1:1" ht="14.25" customHeight="1">
      <c r="A503" s="46"/>
    </row>
    <row r="504" spans="1:1" ht="14.25" customHeight="1">
      <c r="A504" s="46"/>
    </row>
    <row r="505" spans="1:1" ht="14.25" customHeight="1">
      <c r="A505" s="46"/>
    </row>
    <row r="506" spans="1:1" ht="14.25" customHeight="1">
      <c r="A506" s="46"/>
    </row>
    <row r="507" spans="1:1" ht="14.25" customHeight="1">
      <c r="A507" s="46"/>
    </row>
    <row r="508" spans="1:1" ht="14.25" customHeight="1">
      <c r="A508" s="46"/>
    </row>
    <row r="509" spans="1:1" ht="14.25" customHeight="1">
      <c r="A509" s="46"/>
    </row>
    <row r="510" spans="1:1" ht="14.25" customHeight="1">
      <c r="A510" s="46"/>
    </row>
    <row r="511" spans="1:1" ht="14.25" customHeight="1">
      <c r="A511" s="46"/>
    </row>
    <row r="512" spans="1:1" ht="14.25" customHeight="1">
      <c r="A512" s="46"/>
    </row>
    <row r="513" spans="1:1" ht="14.25" customHeight="1">
      <c r="A513" s="46"/>
    </row>
    <row r="514" spans="1:1" ht="14.25" customHeight="1">
      <c r="A514" s="46"/>
    </row>
    <row r="515" spans="1:1" ht="14.25" customHeight="1">
      <c r="A515" s="46"/>
    </row>
    <row r="516" spans="1:1" ht="14.25" customHeight="1">
      <c r="A516" s="46"/>
    </row>
    <row r="517" spans="1:1" ht="14.25" customHeight="1">
      <c r="A517" s="46"/>
    </row>
    <row r="518" spans="1:1" ht="14.25" customHeight="1">
      <c r="A518" s="46"/>
    </row>
    <row r="519" spans="1:1" ht="14.25" customHeight="1">
      <c r="A519" s="46"/>
    </row>
    <row r="520" spans="1:1" ht="14.25" customHeight="1">
      <c r="A520" s="46"/>
    </row>
    <row r="521" spans="1:1" ht="14.25" customHeight="1">
      <c r="A521" s="46"/>
    </row>
    <row r="522" spans="1:1" ht="14.25" customHeight="1">
      <c r="A522" s="46"/>
    </row>
    <row r="523" spans="1:1" ht="14.25" customHeight="1">
      <c r="A523" s="46"/>
    </row>
    <row r="524" spans="1:1" ht="14.25" customHeight="1">
      <c r="A524" s="46"/>
    </row>
    <row r="525" spans="1:1" ht="14.25" customHeight="1">
      <c r="A525" s="46"/>
    </row>
    <row r="526" spans="1:1" ht="14.25" customHeight="1">
      <c r="A526" s="46"/>
    </row>
    <row r="527" spans="1:1" ht="14.25" customHeight="1">
      <c r="A527" s="46"/>
    </row>
    <row r="528" spans="1:1" ht="14.25" customHeight="1">
      <c r="A528" s="46"/>
    </row>
    <row r="529" spans="1:1" ht="14.25" customHeight="1">
      <c r="A529" s="46"/>
    </row>
    <row r="530" spans="1:1" ht="14.25" customHeight="1">
      <c r="A530" s="46"/>
    </row>
    <row r="531" spans="1:1" ht="14.25" customHeight="1">
      <c r="A531" s="46"/>
    </row>
    <row r="532" spans="1:1" ht="14.25" customHeight="1">
      <c r="A532" s="46"/>
    </row>
    <row r="533" spans="1:1" ht="14.25" customHeight="1">
      <c r="A533" s="46"/>
    </row>
    <row r="534" spans="1:1" ht="14.25" customHeight="1">
      <c r="A534" s="46"/>
    </row>
    <row r="535" spans="1:1" ht="14.25" customHeight="1">
      <c r="A535" s="46"/>
    </row>
    <row r="536" spans="1:1" ht="14.25" customHeight="1">
      <c r="A536" s="46"/>
    </row>
    <row r="537" spans="1:1" ht="14.25" customHeight="1">
      <c r="A537" s="46"/>
    </row>
    <row r="538" spans="1:1" ht="14.25" customHeight="1">
      <c r="A538" s="46"/>
    </row>
    <row r="539" spans="1:1" ht="14.25" customHeight="1">
      <c r="A539" s="46"/>
    </row>
    <row r="540" spans="1:1" ht="14.25" customHeight="1">
      <c r="A540" s="46"/>
    </row>
    <row r="541" spans="1:1" ht="14.25" customHeight="1">
      <c r="A541" s="46"/>
    </row>
    <row r="542" spans="1:1" ht="14.25" customHeight="1">
      <c r="A542" s="46"/>
    </row>
    <row r="543" spans="1:1" ht="14.25" customHeight="1">
      <c r="A543" s="46"/>
    </row>
    <row r="544" spans="1:1" ht="14.25" customHeight="1">
      <c r="A544" s="46"/>
    </row>
    <row r="545" spans="1:1" ht="14.25" customHeight="1">
      <c r="A545" s="46"/>
    </row>
    <row r="546" spans="1:1" ht="14.25" customHeight="1">
      <c r="A546" s="46"/>
    </row>
    <row r="547" spans="1:1" ht="14.25" customHeight="1">
      <c r="A547" s="46"/>
    </row>
    <row r="548" spans="1:1" ht="14.25" customHeight="1">
      <c r="A548" s="46"/>
    </row>
    <row r="549" spans="1:1" ht="14.25" customHeight="1">
      <c r="A549" s="46"/>
    </row>
    <row r="550" spans="1:1" ht="14.25" customHeight="1">
      <c r="A550" s="46"/>
    </row>
    <row r="551" spans="1:1" ht="14.25" customHeight="1">
      <c r="A551" s="46"/>
    </row>
    <row r="552" spans="1:1" ht="14.25" customHeight="1">
      <c r="A552" s="46"/>
    </row>
    <row r="553" spans="1:1" ht="14.25" customHeight="1">
      <c r="A553" s="46"/>
    </row>
    <row r="554" spans="1:1" ht="14.25" customHeight="1">
      <c r="A554" s="46"/>
    </row>
    <row r="555" spans="1:1" ht="14.25" customHeight="1">
      <c r="A555" s="46"/>
    </row>
    <row r="556" spans="1:1" ht="14.25" customHeight="1">
      <c r="A556" s="46"/>
    </row>
    <row r="557" spans="1:1" ht="14.25" customHeight="1">
      <c r="A557" s="46"/>
    </row>
    <row r="558" spans="1:1" ht="14.25" customHeight="1">
      <c r="A558" s="46"/>
    </row>
    <row r="559" spans="1:1" ht="14.25" customHeight="1">
      <c r="A559" s="46"/>
    </row>
    <row r="560" spans="1:1" ht="14.25" customHeight="1">
      <c r="A560" s="46"/>
    </row>
    <row r="561" spans="1:1" ht="14.25" customHeight="1">
      <c r="A561" s="46"/>
    </row>
    <row r="562" spans="1:1" ht="14.25" customHeight="1">
      <c r="A562" s="46"/>
    </row>
    <row r="563" spans="1:1" ht="14.25" customHeight="1">
      <c r="A563" s="46"/>
    </row>
    <row r="564" spans="1:1" ht="14.25" customHeight="1">
      <c r="A564" s="46"/>
    </row>
    <row r="565" spans="1:1" ht="14.25" customHeight="1">
      <c r="A565" s="46"/>
    </row>
    <row r="566" spans="1:1" ht="14.25" customHeight="1">
      <c r="A566" s="46"/>
    </row>
    <row r="567" spans="1:1" ht="14.25" customHeight="1">
      <c r="A567" s="46"/>
    </row>
    <row r="568" spans="1:1" ht="14.25" customHeight="1">
      <c r="A568" s="46"/>
    </row>
    <row r="569" spans="1:1" ht="14.25" customHeight="1">
      <c r="A569" s="46"/>
    </row>
    <row r="570" spans="1:1" ht="14.25" customHeight="1">
      <c r="A570" s="46"/>
    </row>
    <row r="571" spans="1:1" ht="14.25" customHeight="1">
      <c r="A571" s="46"/>
    </row>
    <row r="572" spans="1:1" ht="14.25" customHeight="1">
      <c r="A572" s="46"/>
    </row>
    <row r="573" spans="1:1" ht="14.25" customHeight="1">
      <c r="A573" s="46"/>
    </row>
    <row r="574" spans="1:1" ht="14.25" customHeight="1">
      <c r="A574" s="46"/>
    </row>
    <row r="575" spans="1:1" ht="14.25" customHeight="1">
      <c r="A575" s="46"/>
    </row>
    <row r="576" spans="1:1" ht="14.25" customHeight="1">
      <c r="A576" s="46"/>
    </row>
    <row r="577" spans="1:1" ht="14.25" customHeight="1">
      <c r="A577" s="46"/>
    </row>
    <row r="578" spans="1:1" ht="14.25" customHeight="1">
      <c r="A578" s="46"/>
    </row>
    <row r="579" spans="1:1" ht="14.25" customHeight="1">
      <c r="A579" s="46"/>
    </row>
    <row r="580" spans="1:1" ht="14.25" customHeight="1">
      <c r="A580" s="46"/>
    </row>
    <row r="581" spans="1:1" ht="14.25" customHeight="1">
      <c r="A581" s="46"/>
    </row>
    <row r="582" spans="1:1" ht="14.25" customHeight="1">
      <c r="A582" s="46"/>
    </row>
    <row r="583" spans="1:1" ht="14.25" customHeight="1">
      <c r="A583" s="46"/>
    </row>
    <row r="584" spans="1:1" ht="14.25" customHeight="1">
      <c r="A584" s="46"/>
    </row>
    <row r="585" spans="1:1" ht="14.25" customHeight="1">
      <c r="A585" s="46"/>
    </row>
    <row r="586" spans="1:1" ht="14.25" customHeight="1">
      <c r="A586" s="46"/>
    </row>
    <row r="587" spans="1:1" ht="14.25" customHeight="1">
      <c r="A587" s="46"/>
    </row>
    <row r="588" spans="1:1" ht="14.25" customHeight="1">
      <c r="A588" s="46"/>
    </row>
    <row r="589" spans="1:1" ht="14.25" customHeight="1">
      <c r="A589" s="46"/>
    </row>
    <row r="590" spans="1:1" ht="14.25" customHeight="1">
      <c r="A590" s="46"/>
    </row>
    <row r="591" spans="1:1" ht="14.25" customHeight="1">
      <c r="A591" s="46"/>
    </row>
    <row r="592" spans="1:1" ht="14.25" customHeight="1">
      <c r="A592" s="46"/>
    </row>
    <row r="593" spans="1:1" ht="14.25" customHeight="1">
      <c r="A593" s="46"/>
    </row>
    <row r="594" spans="1:1" ht="14.25" customHeight="1">
      <c r="A594" s="46"/>
    </row>
    <row r="595" spans="1:1" ht="14.25" customHeight="1">
      <c r="A595" s="46"/>
    </row>
    <row r="596" spans="1:1" ht="14.25" customHeight="1">
      <c r="A596" s="46"/>
    </row>
    <row r="597" spans="1:1" ht="14.25" customHeight="1">
      <c r="A597" s="46"/>
    </row>
    <row r="598" spans="1:1" ht="14.25" customHeight="1">
      <c r="A598" s="46"/>
    </row>
    <row r="599" spans="1:1" ht="14.25" customHeight="1">
      <c r="A599" s="46"/>
    </row>
    <row r="600" spans="1:1" ht="14.25" customHeight="1">
      <c r="A600" s="46"/>
    </row>
    <row r="601" spans="1:1" ht="14.25" customHeight="1">
      <c r="A601" s="46"/>
    </row>
    <row r="602" spans="1:1" ht="14.25" customHeight="1">
      <c r="A602" s="46"/>
    </row>
    <row r="603" spans="1:1" ht="14.25" customHeight="1">
      <c r="A603" s="46"/>
    </row>
    <row r="604" spans="1:1" ht="14.25" customHeight="1">
      <c r="A604" s="46"/>
    </row>
    <row r="605" spans="1:1" ht="14.25" customHeight="1">
      <c r="A605" s="46"/>
    </row>
    <row r="606" spans="1:1" ht="14.25" customHeight="1">
      <c r="A606" s="46"/>
    </row>
    <row r="607" spans="1:1" ht="14.25" customHeight="1">
      <c r="A607" s="46"/>
    </row>
    <row r="608" spans="1:1" ht="14.25" customHeight="1">
      <c r="A608" s="46"/>
    </row>
    <row r="609" spans="1:1" ht="14.25" customHeight="1">
      <c r="A609" s="46"/>
    </row>
    <row r="610" spans="1:1" ht="14.25" customHeight="1">
      <c r="A610" s="46"/>
    </row>
    <row r="611" spans="1:1" ht="14.25" customHeight="1">
      <c r="A611" s="46"/>
    </row>
    <row r="612" spans="1:1" ht="14.25" customHeight="1">
      <c r="A612" s="46"/>
    </row>
    <row r="613" spans="1:1" ht="14.25" customHeight="1">
      <c r="A613" s="46"/>
    </row>
    <row r="614" spans="1:1" ht="14.25" customHeight="1">
      <c r="A614" s="46"/>
    </row>
    <row r="615" spans="1:1" ht="14.25" customHeight="1">
      <c r="A615" s="46"/>
    </row>
    <row r="616" spans="1:1" ht="14.25" customHeight="1">
      <c r="A616" s="46"/>
    </row>
    <row r="617" spans="1:1" ht="14.25" customHeight="1">
      <c r="A617" s="46"/>
    </row>
    <row r="618" spans="1:1" ht="14.25" customHeight="1">
      <c r="A618" s="46"/>
    </row>
    <row r="619" spans="1:1" ht="14.25" customHeight="1">
      <c r="A619" s="46"/>
    </row>
    <row r="620" spans="1:1" ht="14.25" customHeight="1">
      <c r="A620" s="46"/>
    </row>
    <row r="621" spans="1:1" ht="14.25" customHeight="1">
      <c r="A621" s="46"/>
    </row>
    <row r="622" spans="1:1" ht="14.25" customHeight="1">
      <c r="A622" s="46"/>
    </row>
    <row r="623" spans="1:1" ht="14.25" customHeight="1">
      <c r="A623" s="46"/>
    </row>
    <row r="624" spans="1:1" ht="14.25" customHeight="1">
      <c r="A624" s="46"/>
    </row>
    <row r="625" spans="1:1" ht="14.25" customHeight="1">
      <c r="A625" s="46"/>
    </row>
    <row r="626" spans="1:1" ht="14.25" customHeight="1">
      <c r="A626" s="46"/>
    </row>
    <row r="627" spans="1:1" ht="14.25" customHeight="1">
      <c r="A627" s="46"/>
    </row>
    <row r="628" spans="1:1" ht="14.25" customHeight="1">
      <c r="A628" s="46"/>
    </row>
    <row r="629" spans="1:1" ht="14.25" customHeight="1">
      <c r="A629" s="46"/>
    </row>
    <row r="630" spans="1:1" ht="14.25" customHeight="1">
      <c r="A630" s="46"/>
    </row>
    <row r="631" spans="1:1" ht="14.25" customHeight="1">
      <c r="A631" s="46"/>
    </row>
    <row r="632" spans="1:1" ht="14.25" customHeight="1">
      <c r="A632" s="46"/>
    </row>
    <row r="633" spans="1:1" ht="14.25" customHeight="1">
      <c r="A633" s="46"/>
    </row>
    <row r="634" spans="1:1" ht="14.25" customHeight="1">
      <c r="A634" s="46"/>
    </row>
    <row r="635" spans="1:1" ht="14.25" customHeight="1">
      <c r="A635" s="46"/>
    </row>
    <row r="636" spans="1:1" ht="14.25" customHeight="1">
      <c r="A636" s="46"/>
    </row>
    <row r="637" spans="1:1" ht="14.25" customHeight="1">
      <c r="A637" s="46"/>
    </row>
    <row r="638" spans="1:1" ht="14.25" customHeight="1">
      <c r="A638" s="46"/>
    </row>
    <row r="639" spans="1:1" ht="14.25" customHeight="1">
      <c r="A639" s="46"/>
    </row>
    <row r="640" spans="1:1" ht="14.25" customHeight="1">
      <c r="A640" s="46"/>
    </row>
    <row r="641" spans="1:1" ht="14.25" customHeight="1">
      <c r="A641" s="46"/>
    </row>
    <row r="642" spans="1:1" ht="14.25" customHeight="1">
      <c r="A642" s="46"/>
    </row>
    <row r="643" spans="1:1" ht="14.25" customHeight="1">
      <c r="A643" s="46"/>
    </row>
    <row r="644" spans="1:1" ht="14.25" customHeight="1">
      <c r="A644" s="46"/>
    </row>
    <row r="645" spans="1:1" ht="14.25" customHeight="1">
      <c r="A645" s="46"/>
    </row>
    <row r="646" spans="1:1" ht="14.25" customHeight="1">
      <c r="A646" s="46"/>
    </row>
    <row r="647" spans="1:1" ht="14.25" customHeight="1">
      <c r="A647" s="46"/>
    </row>
    <row r="648" spans="1:1" ht="14.25" customHeight="1">
      <c r="A648" s="46"/>
    </row>
    <row r="649" spans="1:1" ht="14.25" customHeight="1">
      <c r="A649" s="46"/>
    </row>
    <row r="650" spans="1:1" ht="14.25" customHeight="1">
      <c r="A650" s="46"/>
    </row>
    <row r="651" spans="1:1" ht="14.25" customHeight="1">
      <c r="A651" s="46"/>
    </row>
    <row r="652" spans="1:1" ht="14.25" customHeight="1">
      <c r="A652" s="46"/>
    </row>
    <row r="653" spans="1:1" ht="14.25" customHeight="1">
      <c r="A653" s="46"/>
    </row>
    <row r="654" spans="1:1" ht="14.25" customHeight="1">
      <c r="A654" s="46"/>
    </row>
    <row r="655" spans="1:1" ht="14.25" customHeight="1">
      <c r="A655" s="46"/>
    </row>
    <row r="656" spans="1:1" ht="14.25" customHeight="1">
      <c r="A656" s="46"/>
    </row>
    <row r="657" spans="1:1" ht="14.25" customHeight="1">
      <c r="A657" s="46"/>
    </row>
    <row r="658" spans="1:1" ht="14.25" customHeight="1">
      <c r="A658" s="46"/>
    </row>
    <row r="659" spans="1:1" ht="14.25" customHeight="1">
      <c r="A659" s="46"/>
    </row>
    <row r="660" spans="1:1" ht="14.25" customHeight="1">
      <c r="A660" s="46"/>
    </row>
    <row r="661" spans="1:1" ht="14.25" customHeight="1">
      <c r="A661" s="46"/>
    </row>
    <row r="662" spans="1:1" ht="14.25" customHeight="1">
      <c r="A662" s="46"/>
    </row>
    <row r="663" spans="1:1" ht="14.25" customHeight="1">
      <c r="A663" s="46"/>
    </row>
    <row r="664" spans="1:1" ht="14.25" customHeight="1">
      <c r="A664" s="46"/>
    </row>
    <row r="665" spans="1:1" ht="14.25" customHeight="1">
      <c r="A665" s="46"/>
    </row>
    <row r="666" spans="1:1" ht="14.25" customHeight="1">
      <c r="A666" s="46"/>
    </row>
    <row r="667" spans="1:1" ht="14.25" customHeight="1">
      <c r="A667" s="46"/>
    </row>
    <row r="668" spans="1:1" ht="14.25" customHeight="1">
      <c r="A668" s="46"/>
    </row>
    <row r="669" spans="1:1" ht="14.25" customHeight="1">
      <c r="A669" s="46"/>
    </row>
    <row r="670" spans="1:1" ht="14.25" customHeight="1">
      <c r="A670" s="46"/>
    </row>
    <row r="671" spans="1:1" ht="14.25" customHeight="1">
      <c r="A671" s="46"/>
    </row>
    <row r="672" spans="1:1" ht="14.25" customHeight="1">
      <c r="A672" s="46"/>
    </row>
    <row r="673" spans="1:1" ht="14.25" customHeight="1">
      <c r="A673" s="46"/>
    </row>
    <row r="674" spans="1:1" ht="14.25" customHeight="1">
      <c r="A674" s="46"/>
    </row>
    <row r="675" spans="1:1" ht="14.25" customHeight="1">
      <c r="A675" s="46"/>
    </row>
    <row r="676" spans="1:1" ht="14.25" customHeight="1">
      <c r="A676" s="46"/>
    </row>
    <row r="677" spans="1:1" ht="14.25" customHeight="1">
      <c r="A677" s="46"/>
    </row>
    <row r="678" spans="1:1" ht="14.25" customHeight="1">
      <c r="A678" s="46"/>
    </row>
    <row r="679" spans="1:1" ht="14.25" customHeight="1">
      <c r="A679" s="46"/>
    </row>
    <row r="680" spans="1:1" ht="14.25" customHeight="1">
      <c r="A680" s="46"/>
    </row>
    <row r="681" spans="1:1" ht="14.25" customHeight="1">
      <c r="A681" s="46"/>
    </row>
    <row r="682" spans="1:1" ht="14.25" customHeight="1">
      <c r="A682" s="46"/>
    </row>
    <row r="683" spans="1:1" ht="14.25" customHeight="1">
      <c r="A683" s="46"/>
    </row>
    <row r="684" spans="1:1" ht="14.25" customHeight="1">
      <c r="A684" s="46"/>
    </row>
    <row r="685" spans="1:1" ht="14.25" customHeight="1">
      <c r="A685" s="46"/>
    </row>
    <row r="686" spans="1:1" ht="14.25" customHeight="1">
      <c r="A686" s="46"/>
    </row>
    <row r="687" spans="1:1" ht="14.25" customHeight="1">
      <c r="A687" s="46"/>
    </row>
    <row r="688" spans="1:1" ht="14.25" customHeight="1">
      <c r="A688" s="46"/>
    </row>
    <row r="689" spans="1:1" ht="14.25" customHeight="1">
      <c r="A689" s="46"/>
    </row>
    <row r="690" spans="1:1" ht="14.25" customHeight="1">
      <c r="A690" s="46"/>
    </row>
    <row r="691" spans="1:1" ht="14.25" customHeight="1">
      <c r="A691" s="46"/>
    </row>
    <row r="692" spans="1:1" ht="14.25" customHeight="1">
      <c r="A692" s="46"/>
    </row>
    <row r="693" spans="1:1" ht="14.25" customHeight="1">
      <c r="A693" s="46"/>
    </row>
    <row r="694" spans="1:1" ht="14.25" customHeight="1">
      <c r="A694" s="46"/>
    </row>
    <row r="695" spans="1:1" ht="14.25" customHeight="1">
      <c r="A695" s="46"/>
    </row>
    <row r="696" spans="1:1" ht="14.25" customHeight="1">
      <c r="A696" s="46"/>
    </row>
    <row r="697" spans="1:1" ht="14.25" customHeight="1">
      <c r="A697" s="46"/>
    </row>
    <row r="698" spans="1:1" ht="14.25" customHeight="1">
      <c r="A698" s="46"/>
    </row>
    <row r="699" spans="1:1" ht="14.25" customHeight="1">
      <c r="A699" s="46"/>
    </row>
    <row r="700" spans="1:1" ht="14.25" customHeight="1">
      <c r="A700" s="46"/>
    </row>
    <row r="701" spans="1:1" ht="14.25" customHeight="1">
      <c r="A701" s="46"/>
    </row>
    <row r="702" spans="1:1" ht="14.25" customHeight="1">
      <c r="A702" s="46"/>
    </row>
    <row r="703" spans="1:1" ht="14.25" customHeight="1">
      <c r="A703" s="46"/>
    </row>
    <row r="704" spans="1:1" ht="14.25" customHeight="1">
      <c r="A704" s="46"/>
    </row>
    <row r="705" spans="1:1" ht="14.25" customHeight="1">
      <c r="A705" s="46"/>
    </row>
    <row r="706" spans="1:1" ht="14.25" customHeight="1">
      <c r="A706" s="46"/>
    </row>
    <row r="707" spans="1:1" ht="14.25" customHeight="1">
      <c r="A707" s="46"/>
    </row>
    <row r="708" spans="1:1" ht="14.25" customHeight="1">
      <c r="A708" s="46"/>
    </row>
    <row r="709" spans="1:1" ht="14.25" customHeight="1">
      <c r="A709" s="46"/>
    </row>
    <row r="710" spans="1:1" ht="14.25" customHeight="1">
      <c r="A710" s="46"/>
    </row>
    <row r="711" spans="1:1" ht="14.25" customHeight="1">
      <c r="A711" s="46"/>
    </row>
    <row r="712" spans="1:1" ht="14.25" customHeight="1">
      <c r="A712" s="46"/>
    </row>
    <row r="713" spans="1:1" ht="14.25" customHeight="1">
      <c r="A713" s="46"/>
    </row>
    <row r="714" spans="1:1" ht="14.25" customHeight="1">
      <c r="A714" s="46"/>
    </row>
    <row r="715" spans="1:1" ht="14.25" customHeight="1">
      <c r="A715" s="46"/>
    </row>
    <row r="716" spans="1:1" ht="14.25" customHeight="1">
      <c r="A716" s="46"/>
    </row>
    <row r="717" spans="1:1" ht="14.25" customHeight="1">
      <c r="A717" s="46"/>
    </row>
    <row r="718" spans="1:1" ht="14.25" customHeight="1">
      <c r="A718" s="46"/>
    </row>
    <row r="719" spans="1:1" ht="14.25" customHeight="1">
      <c r="A719" s="46"/>
    </row>
    <row r="720" spans="1:1" ht="14.25" customHeight="1">
      <c r="A720" s="46"/>
    </row>
    <row r="721" spans="1:1" ht="14.25" customHeight="1">
      <c r="A721" s="46"/>
    </row>
    <row r="722" spans="1:1" ht="14.25" customHeight="1">
      <c r="A722" s="46"/>
    </row>
    <row r="723" spans="1:1" ht="14.25" customHeight="1">
      <c r="A723" s="46"/>
    </row>
    <row r="724" spans="1:1" ht="14.25" customHeight="1">
      <c r="A724" s="46"/>
    </row>
    <row r="725" spans="1:1" ht="14.25" customHeight="1">
      <c r="A725" s="46"/>
    </row>
    <row r="726" spans="1:1" ht="14.25" customHeight="1">
      <c r="A726" s="46"/>
    </row>
    <row r="727" spans="1:1" ht="14.25" customHeight="1">
      <c r="A727" s="46"/>
    </row>
    <row r="728" spans="1:1" ht="14.25" customHeight="1">
      <c r="A728" s="46"/>
    </row>
    <row r="729" spans="1:1" ht="14.25" customHeight="1">
      <c r="A729" s="46"/>
    </row>
    <row r="730" spans="1:1" ht="14.25" customHeight="1">
      <c r="A730" s="46"/>
    </row>
    <row r="731" spans="1:1" ht="14.25" customHeight="1">
      <c r="A731" s="46"/>
    </row>
    <row r="732" spans="1:1" ht="14.25" customHeight="1">
      <c r="A732" s="46"/>
    </row>
    <row r="733" spans="1:1" ht="14.25" customHeight="1">
      <c r="A733" s="46"/>
    </row>
    <row r="734" spans="1:1" ht="14.25" customHeight="1">
      <c r="A734" s="46"/>
    </row>
    <row r="735" spans="1:1" ht="14.25" customHeight="1">
      <c r="A735" s="46"/>
    </row>
    <row r="736" spans="1:1" ht="14.25" customHeight="1">
      <c r="A736" s="46"/>
    </row>
    <row r="737" spans="1:1" ht="14.25" customHeight="1">
      <c r="A737" s="46"/>
    </row>
    <row r="738" spans="1:1" ht="14.25" customHeight="1">
      <c r="A738" s="46"/>
    </row>
    <row r="739" spans="1:1" ht="14.25" customHeight="1">
      <c r="A739" s="46"/>
    </row>
    <row r="740" spans="1:1" ht="14.25" customHeight="1">
      <c r="A740" s="46"/>
    </row>
    <row r="741" spans="1:1" ht="14.25" customHeight="1">
      <c r="A741" s="46"/>
    </row>
    <row r="742" spans="1:1" ht="14.25" customHeight="1">
      <c r="A742" s="46"/>
    </row>
    <row r="743" spans="1:1" ht="14.25" customHeight="1">
      <c r="A743" s="46"/>
    </row>
    <row r="744" spans="1:1" ht="14.25" customHeight="1">
      <c r="A744" s="46"/>
    </row>
    <row r="745" spans="1:1" ht="14.25" customHeight="1">
      <c r="A745" s="46"/>
    </row>
    <row r="746" spans="1:1" ht="14.25" customHeight="1">
      <c r="A746" s="46"/>
    </row>
    <row r="747" spans="1:1" ht="14.25" customHeight="1">
      <c r="A747" s="46"/>
    </row>
    <row r="748" spans="1:1" ht="14.25" customHeight="1">
      <c r="A748" s="46"/>
    </row>
    <row r="749" spans="1:1" ht="14.25" customHeight="1">
      <c r="A749" s="46"/>
    </row>
    <row r="750" spans="1:1" ht="14.25" customHeight="1">
      <c r="A750" s="46"/>
    </row>
    <row r="751" spans="1:1" ht="14.25" customHeight="1">
      <c r="A751" s="46"/>
    </row>
    <row r="752" spans="1:1" ht="14.25" customHeight="1">
      <c r="A752" s="46"/>
    </row>
    <row r="753" spans="1:1" ht="14.25" customHeight="1">
      <c r="A753" s="46"/>
    </row>
    <row r="754" spans="1:1" ht="14.25" customHeight="1">
      <c r="A754" s="46"/>
    </row>
    <row r="755" spans="1:1" ht="14.25" customHeight="1">
      <c r="A755" s="46"/>
    </row>
    <row r="756" spans="1:1" ht="14.25" customHeight="1">
      <c r="A756" s="46"/>
    </row>
    <row r="757" spans="1:1" ht="14.25" customHeight="1">
      <c r="A757" s="46"/>
    </row>
    <row r="758" spans="1:1" ht="14.25" customHeight="1">
      <c r="A758" s="46"/>
    </row>
    <row r="759" spans="1:1" ht="14.25" customHeight="1">
      <c r="A759" s="46"/>
    </row>
    <row r="760" spans="1:1" ht="14.25" customHeight="1">
      <c r="A760" s="46"/>
    </row>
    <row r="761" spans="1:1" ht="14.25" customHeight="1">
      <c r="A761" s="46"/>
    </row>
    <row r="762" spans="1:1" ht="14.25" customHeight="1">
      <c r="A762" s="46"/>
    </row>
    <row r="763" spans="1:1" ht="14.25" customHeight="1">
      <c r="A763" s="46"/>
    </row>
    <row r="764" spans="1:1" ht="14.25" customHeight="1">
      <c r="A764" s="46"/>
    </row>
    <row r="765" spans="1:1" ht="14.25" customHeight="1">
      <c r="A765" s="46"/>
    </row>
    <row r="766" spans="1:1" ht="14.25" customHeight="1">
      <c r="A766" s="46"/>
    </row>
    <row r="767" spans="1:1" ht="14.25" customHeight="1">
      <c r="A767" s="46"/>
    </row>
    <row r="768" spans="1:1" ht="14.25" customHeight="1">
      <c r="A768" s="46"/>
    </row>
    <row r="769" spans="1:1" ht="14.25" customHeight="1">
      <c r="A769" s="46"/>
    </row>
    <row r="770" spans="1:1" ht="14.25" customHeight="1">
      <c r="A770" s="46"/>
    </row>
    <row r="771" spans="1:1" ht="14.25" customHeight="1">
      <c r="A771" s="46"/>
    </row>
    <row r="772" spans="1:1" ht="14.25" customHeight="1">
      <c r="A772" s="46"/>
    </row>
    <row r="773" spans="1:1" ht="14.25" customHeight="1">
      <c r="A773" s="46"/>
    </row>
    <row r="774" spans="1:1" ht="14.25" customHeight="1">
      <c r="A774" s="46"/>
    </row>
    <row r="775" spans="1:1" ht="14.25" customHeight="1">
      <c r="A775" s="46"/>
    </row>
    <row r="776" spans="1:1" ht="14.25" customHeight="1">
      <c r="A776" s="46"/>
    </row>
    <row r="777" spans="1:1" ht="14.25" customHeight="1">
      <c r="A777" s="46"/>
    </row>
    <row r="778" spans="1:1" ht="14.25" customHeight="1">
      <c r="A778" s="46"/>
    </row>
    <row r="779" spans="1:1" ht="14.25" customHeight="1">
      <c r="A779" s="46"/>
    </row>
    <row r="780" spans="1:1" ht="14.25" customHeight="1">
      <c r="A780" s="46"/>
    </row>
    <row r="781" spans="1:1" ht="14.25" customHeight="1">
      <c r="A781" s="46"/>
    </row>
    <row r="782" spans="1:1" ht="14.25" customHeight="1">
      <c r="A782" s="46"/>
    </row>
    <row r="783" spans="1:1" ht="14.25" customHeight="1">
      <c r="A783" s="46"/>
    </row>
    <row r="784" spans="1:1" ht="14.25" customHeight="1">
      <c r="A784" s="46"/>
    </row>
    <row r="785" spans="1:1" ht="14.25" customHeight="1">
      <c r="A785" s="46"/>
    </row>
    <row r="786" spans="1:1" ht="14.25" customHeight="1">
      <c r="A786" s="46"/>
    </row>
    <row r="787" spans="1:1" ht="14.25" customHeight="1">
      <c r="A787" s="46"/>
    </row>
    <row r="788" spans="1:1" ht="14.25" customHeight="1">
      <c r="A788" s="46"/>
    </row>
    <row r="789" spans="1:1" ht="14.25" customHeight="1">
      <c r="A789" s="46"/>
    </row>
    <row r="790" spans="1:1" ht="14.25" customHeight="1">
      <c r="A790" s="46"/>
    </row>
    <row r="791" spans="1:1" ht="14.25" customHeight="1">
      <c r="A791" s="46"/>
    </row>
    <row r="792" spans="1:1" ht="14.25" customHeight="1">
      <c r="A792" s="46"/>
    </row>
    <row r="793" spans="1:1" ht="14.25" customHeight="1">
      <c r="A793" s="46"/>
    </row>
    <row r="794" spans="1:1" ht="14.25" customHeight="1">
      <c r="A794" s="46"/>
    </row>
    <row r="795" spans="1:1" ht="14.25" customHeight="1">
      <c r="A795" s="46"/>
    </row>
    <row r="796" spans="1:1" ht="14.25" customHeight="1">
      <c r="A796" s="46"/>
    </row>
    <row r="797" spans="1:1" ht="14.25" customHeight="1">
      <c r="A797" s="46"/>
    </row>
    <row r="798" spans="1:1" ht="14.25" customHeight="1">
      <c r="A798" s="46"/>
    </row>
    <row r="799" spans="1:1" ht="14.25" customHeight="1">
      <c r="A799" s="46"/>
    </row>
    <row r="800" spans="1:1" ht="14.25" customHeight="1">
      <c r="A800" s="46"/>
    </row>
    <row r="801" spans="1:1" ht="14.25" customHeight="1">
      <c r="A801" s="46"/>
    </row>
    <row r="802" spans="1:1" ht="14.25" customHeight="1">
      <c r="A802" s="46"/>
    </row>
    <row r="803" spans="1:1" ht="14.25" customHeight="1">
      <c r="A803" s="46"/>
    </row>
    <row r="804" spans="1:1" ht="14.25" customHeight="1">
      <c r="A804" s="46"/>
    </row>
    <row r="805" spans="1:1" ht="14.25" customHeight="1">
      <c r="A805" s="46"/>
    </row>
    <row r="806" spans="1:1" ht="14.25" customHeight="1">
      <c r="A806" s="46"/>
    </row>
    <row r="807" spans="1:1" ht="14.25" customHeight="1">
      <c r="A807" s="46"/>
    </row>
    <row r="808" spans="1:1" ht="14.25" customHeight="1">
      <c r="A808" s="46"/>
    </row>
    <row r="809" spans="1:1" ht="14.25" customHeight="1">
      <c r="A809" s="46"/>
    </row>
    <row r="810" spans="1:1" ht="14.25" customHeight="1">
      <c r="A810" s="46"/>
    </row>
    <row r="811" spans="1:1" ht="14.25" customHeight="1">
      <c r="A811" s="46"/>
    </row>
    <row r="812" spans="1:1" ht="14.25" customHeight="1">
      <c r="A812" s="46"/>
    </row>
    <row r="813" spans="1:1" ht="14.25" customHeight="1">
      <c r="A813" s="46"/>
    </row>
    <row r="814" spans="1:1" ht="14.25" customHeight="1">
      <c r="A814" s="46"/>
    </row>
    <row r="815" spans="1:1" ht="14.25" customHeight="1">
      <c r="A815" s="46"/>
    </row>
    <row r="816" spans="1:1" ht="14.25" customHeight="1">
      <c r="A816" s="46"/>
    </row>
    <row r="817" spans="1:1" ht="14.25" customHeight="1">
      <c r="A817" s="46"/>
    </row>
    <row r="818" spans="1:1" ht="14.25" customHeight="1">
      <c r="A818" s="46"/>
    </row>
    <row r="819" spans="1:1" ht="14.25" customHeight="1">
      <c r="A819" s="46"/>
    </row>
    <row r="820" spans="1:1" ht="14.25" customHeight="1">
      <c r="A820" s="46"/>
    </row>
    <row r="821" spans="1:1" ht="14.25" customHeight="1">
      <c r="A821" s="46"/>
    </row>
    <row r="822" spans="1:1" ht="14.25" customHeight="1">
      <c r="A822" s="46"/>
    </row>
    <row r="823" spans="1:1" ht="14.25" customHeight="1">
      <c r="A823" s="46"/>
    </row>
    <row r="824" spans="1:1" ht="14.25" customHeight="1">
      <c r="A824" s="46"/>
    </row>
    <row r="825" spans="1:1" ht="14.25" customHeight="1">
      <c r="A825" s="46"/>
    </row>
    <row r="826" spans="1:1" ht="14.25" customHeight="1">
      <c r="A826" s="46"/>
    </row>
    <row r="827" spans="1:1" ht="14.25" customHeight="1">
      <c r="A827" s="46"/>
    </row>
    <row r="828" spans="1:1" ht="14.25" customHeight="1">
      <c r="A828" s="46"/>
    </row>
    <row r="829" spans="1:1" ht="14.25" customHeight="1">
      <c r="A829" s="46"/>
    </row>
    <row r="830" spans="1:1" ht="14.25" customHeight="1">
      <c r="A830" s="46"/>
    </row>
    <row r="831" spans="1:1" ht="14.25" customHeight="1">
      <c r="A831" s="46"/>
    </row>
    <row r="832" spans="1:1" ht="14.25" customHeight="1">
      <c r="A832" s="46"/>
    </row>
    <row r="833" spans="1:1" ht="14.25" customHeight="1">
      <c r="A833" s="46"/>
    </row>
    <row r="834" spans="1:1" ht="14.25" customHeight="1">
      <c r="A834" s="46"/>
    </row>
    <row r="835" spans="1:1" ht="14.25" customHeight="1">
      <c r="A835" s="46"/>
    </row>
    <row r="836" spans="1:1" ht="14.25" customHeight="1">
      <c r="A836" s="46"/>
    </row>
    <row r="837" spans="1:1" ht="14.25" customHeight="1">
      <c r="A837" s="46"/>
    </row>
    <row r="838" spans="1:1" ht="14.25" customHeight="1">
      <c r="A838" s="46"/>
    </row>
    <row r="839" spans="1:1" ht="14.25" customHeight="1">
      <c r="A839" s="46"/>
    </row>
    <row r="840" spans="1:1" ht="14.25" customHeight="1">
      <c r="A840" s="46"/>
    </row>
    <row r="841" spans="1:1" ht="14.25" customHeight="1">
      <c r="A841" s="46"/>
    </row>
    <row r="842" spans="1:1" ht="14.25" customHeight="1">
      <c r="A842" s="46"/>
    </row>
    <row r="843" spans="1:1" ht="14.25" customHeight="1">
      <c r="A843" s="46"/>
    </row>
    <row r="844" spans="1:1" ht="14.25" customHeight="1">
      <c r="A844" s="46"/>
    </row>
    <row r="845" spans="1:1" ht="14.25" customHeight="1">
      <c r="A845" s="46"/>
    </row>
    <row r="846" spans="1:1" ht="14.25" customHeight="1">
      <c r="A846" s="46"/>
    </row>
    <row r="847" spans="1:1" ht="14.25" customHeight="1">
      <c r="A847" s="46"/>
    </row>
    <row r="848" spans="1:1" ht="14.25" customHeight="1">
      <c r="A848" s="46"/>
    </row>
    <row r="849" spans="1:1" ht="14.25" customHeight="1">
      <c r="A849" s="46"/>
    </row>
    <row r="850" spans="1:1" ht="14.25" customHeight="1">
      <c r="A850" s="46"/>
    </row>
    <row r="851" spans="1:1" ht="14.25" customHeight="1">
      <c r="A851" s="46"/>
    </row>
    <row r="852" spans="1:1" ht="14.25" customHeight="1">
      <c r="A852" s="46"/>
    </row>
    <row r="853" spans="1:1" ht="14.25" customHeight="1">
      <c r="A853" s="46"/>
    </row>
    <row r="854" spans="1:1" ht="14.25" customHeight="1">
      <c r="A854" s="46"/>
    </row>
    <row r="855" spans="1:1" ht="14.25" customHeight="1">
      <c r="A855" s="46"/>
    </row>
    <row r="856" spans="1:1" ht="14.25" customHeight="1">
      <c r="A856" s="46"/>
    </row>
    <row r="857" spans="1:1" ht="14.25" customHeight="1">
      <c r="A857" s="46"/>
    </row>
    <row r="858" spans="1:1" ht="14.25" customHeight="1">
      <c r="A858" s="46"/>
    </row>
    <row r="859" spans="1:1" ht="14.25" customHeight="1">
      <c r="A859" s="46"/>
    </row>
    <row r="860" spans="1:1" ht="14.25" customHeight="1">
      <c r="A860" s="46"/>
    </row>
    <row r="861" spans="1:1" ht="14.25" customHeight="1">
      <c r="A861" s="46"/>
    </row>
    <row r="862" spans="1:1" ht="14.25" customHeight="1">
      <c r="A862" s="46"/>
    </row>
    <row r="863" spans="1:1" ht="14.25" customHeight="1">
      <c r="A863" s="46"/>
    </row>
    <row r="864" spans="1:1" ht="14.25" customHeight="1">
      <c r="A864" s="46"/>
    </row>
    <row r="865" spans="1:1" ht="14.25" customHeight="1">
      <c r="A865" s="46"/>
    </row>
    <row r="866" spans="1:1" ht="14.25" customHeight="1">
      <c r="A866" s="46"/>
    </row>
    <row r="867" spans="1:1" ht="14.25" customHeight="1">
      <c r="A867" s="46"/>
    </row>
    <row r="868" spans="1:1" ht="14.25" customHeight="1">
      <c r="A868" s="46"/>
    </row>
    <row r="869" spans="1:1" ht="14.25" customHeight="1">
      <c r="A869" s="46"/>
    </row>
    <row r="870" spans="1:1" ht="14.25" customHeight="1">
      <c r="A870" s="46"/>
    </row>
    <row r="871" spans="1:1" ht="14.25" customHeight="1">
      <c r="A871" s="46"/>
    </row>
    <row r="872" spans="1:1" ht="14.25" customHeight="1">
      <c r="A872" s="46"/>
    </row>
    <row r="873" spans="1:1" ht="14.25" customHeight="1">
      <c r="A873" s="46"/>
    </row>
    <row r="874" spans="1:1" ht="14.25" customHeight="1">
      <c r="A874" s="46"/>
    </row>
    <row r="875" spans="1:1" ht="14.25" customHeight="1">
      <c r="A875" s="46"/>
    </row>
    <row r="876" spans="1:1" ht="14.25" customHeight="1">
      <c r="A876" s="46"/>
    </row>
    <row r="877" spans="1:1" ht="14.25" customHeight="1">
      <c r="A877" s="46"/>
    </row>
    <row r="878" spans="1:1" ht="14.25" customHeight="1">
      <c r="A878" s="46"/>
    </row>
    <row r="879" spans="1:1" ht="14.25" customHeight="1">
      <c r="A879" s="46"/>
    </row>
    <row r="880" spans="1:1" ht="14.25" customHeight="1">
      <c r="A880" s="46"/>
    </row>
    <row r="881" spans="1:1" ht="14.25" customHeight="1">
      <c r="A881" s="46"/>
    </row>
    <row r="882" spans="1:1" ht="14.25" customHeight="1">
      <c r="A882" s="46"/>
    </row>
    <row r="883" spans="1:1" ht="14.25" customHeight="1">
      <c r="A883" s="46"/>
    </row>
    <row r="884" spans="1:1" ht="14.25" customHeight="1">
      <c r="A884" s="46"/>
    </row>
    <row r="885" spans="1:1" ht="14.25" customHeight="1">
      <c r="A885" s="46"/>
    </row>
    <row r="886" spans="1:1" ht="14.25" customHeight="1">
      <c r="A886" s="46"/>
    </row>
    <row r="887" spans="1:1" ht="14.25" customHeight="1">
      <c r="A887" s="46"/>
    </row>
    <row r="888" spans="1:1" ht="14.25" customHeight="1">
      <c r="A888" s="46"/>
    </row>
    <row r="889" spans="1:1" ht="14.25" customHeight="1">
      <c r="A889" s="46"/>
    </row>
    <row r="890" spans="1:1" ht="14.25" customHeight="1">
      <c r="A890" s="46"/>
    </row>
    <row r="891" spans="1:1" ht="14.25" customHeight="1">
      <c r="A891" s="46"/>
    </row>
    <row r="892" spans="1:1" ht="14.25" customHeight="1">
      <c r="A892" s="46"/>
    </row>
    <row r="893" spans="1:1" ht="14.25" customHeight="1">
      <c r="A893" s="46"/>
    </row>
    <row r="894" spans="1:1" ht="14.25" customHeight="1">
      <c r="A894" s="46"/>
    </row>
    <row r="895" spans="1:1" ht="14.25" customHeight="1">
      <c r="A895" s="46"/>
    </row>
    <row r="896" spans="1:1" ht="14.25" customHeight="1">
      <c r="A896" s="46"/>
    </row>
    <row r="897" spans="1:1" ht="14.25" customHeight="1">
      <c r="A897" s="46"/>
    </row>
    <row r="898" spans="1:1" ht="14.25" customHeight="1">
      <c r="A898" s="46"/>
    </row>
    <row r="899" spans="1:1" ht="14.25" customHeight="1">
      <c r="A899" s="46"/>
    </row>
    <row r="900" spans="1:1" ht="14.25" customHeight="1">
      <c r="A900" s="46"/>
    </row>
    <row r="901" spans="1:1" ht="14.25" customHeight="1">
      <c r="A901" s="46"/>
    </row>
    <row r="902" spans="1:1" ht="14.25" customHeight="1">
      <c r="A902" s="46"/>
    </row>
    <row r="903" spans="1:1" ht="14.25" customHeight="1">
      <c r="A903" s="46"/>
    </row>
    <row r="904" spans="1:1" ht="14.25" customHeight="1">
      <c r="A904" s="46"/>
    </row>
    <row r="905" spans="1:1" ht="14.25" customHeight="1">
      <c r="A905" s="46"/>
    </row>
    <row r="906" spans="1:1" ht="14.25" customHeight="1">
      <c r="A906" s="46"/>
    </row>
    <row r="907" spans="1:1" ht="14.25" customHeight="1">
      <c r="A907" s="46"/>
    </row>
    <row r="908" spans="1:1" ht="14.25" customHeight="1">
      <c r="A908" s="46"/>
    </row>
    <row r="909" spans="1:1" ht="14.25" customHeight="1">
      <c r="A909" s="46"/>
    </row>
    <row r="910" spans="1:1" ht="14.25" customHeight="1">
      <c r="A910" s="46"/>
    </row>
    <row r="911" spans="1:1" ht="14.25" customHeight="1">
      <c r="A911" s="46"/>
    </row>
    <row r="912" spans="1:1" ht="14.25" customHeight="1">
      <c r="A912" s="46"/>
    </row>
    <row r="913" spans="1:1" ht="14.25" customHeight="1">
      <c r="A913" s="46"/>
    </row>
    <row r="914" spans="1:1" ht="14.25" customHeight="1">
      <c r="A914" s="46"/>
    </row>
    <row r="915" spans="1:1" ht="14.25" customHeight="1">
      <c r="A915" s="46"/>
    </row>
    <row r="916" spans="1:1" ht="14.25" customHeight="1">
      <c r="A916" s="46"/>
    </row>
    <row r="917" spans="1:1" ht="14.25" customHeight="1">
      <c r="A917" s="46"/>
    </row>
    <row r="918" spans="1:1" ht="14.25" customHeight="1">
      <c r="A918" s="46"/>
    </row>
    <row r="919" spans="1:1" ht="14.25" customHeight="1">
      <c r="A919" s="46"/>
    </row>
    <row r="920" spans="1:1" ht="14.25" customHeight="1">
      <c r="A920" s="46"/>
    </row>
    <row r="921" spans="1:1" ht="14.25" customHeight="1">
      <c r="A921" s="46"/>
    </row>
    <row r="922" spans="1:1" ht="14.25" customHeight="1">
      <c r="A922" s="46"/>
    </row>
    <row r="923" spans="1:1" ht="14.25" customHeight="1">
      <c r="A923" s="46"/>
    </row>
    <row r="924" spans="1:1" ht="14.25" customHeight="1">
      <c r="A924" s="46"/>
    </row>
    <row r="925" spans="1:1" ht="14.25" customHeight="1">
      <c r="A925" s="46"/>
    </row>
    <row r="926" spans="1:1" ht="14.25" customHeight="1">
      <c r="A926" s="46"/>
    </row>
    <row r="927" spans="1:1" ht="14.25" customHeight="1">
      <c r="A927" s="46"/>
    </row>
    <row r="928" spans="1:1" ht="14.25" customHeight="1">
      <c r="A928" s="46"/>
    </row>
    <row r="929" spans="1:1" ht="14.25" customHeight="1">
      <c r="A929" s="46"/>
    </row>
    <row r="930" spans="1:1" ht="14.25" customHeight="1">
      <c r="A930" s="46"/>
    </row>
    <row r="931" spans="1:1" ht="14.25" customHeight="1">
      <c r="A931" s="46"/>
    </row>
    <row r="932" spans="1:1" ht="14.25" customHeight="1">
      <c r="A932" s="46"/>
    </row>
    <row r="933" spans="1:1" ht="14.25" customHeight="1">
      <c r="A933" s="46"/>
    </row>
    <row r="934" spans="1:1" ht="14.25" customHeight="1">
      <c r="A934" s="46"/>
    </row>
    <row r="935" spans="1:1" ht="14.25" customHeight="1">
      <c r="A935" s="46"/>
    </row>
    <row r="936" spans="1:1" ht="14.25" customHeight="1">
      <c r="A936" s="46"/>
    </row>
    <row r="937" spans="1:1" ht="14.25" customHeight="1">
      <c r="A937" s="46"/>
    </row>
    <row r="938" spans="1:1" ht="14.25" customHeight="1">
      <c r="A938" s="46"/>
    </row>
    <row r="939" spans="1:1" ht="14.25" customHeight="1">
      <c r="A939" s="46"/>
    </row>
    <row r="940" spans="1:1" ht="14.25" customHeight="1">
      <c r="A940" s="46"/>
    </row>
    <row r="941" spans="1:1" ht="14.25" customHeight="1">
      <c r="A941" s="46"/>
    </row>
    <row r="942" spans="1:1" ht="14.25" customHeight="1">
      <c r="A942" s="46"/>
    </row>
    <row r="943" spans="1:1" ht="14.25" customHeight="1">
      <c r="A943" s="46"/>
    </row>
    <row r="944" spans="1:1" ht="14.25" customHeight="1">
      <c r="A944" s="46"/>
    </row>
    <row r="945" spans="1:1" ht="14.25" customHeight="1">
      <c r="A945" s="46"/>
    </row>
    <row r="946" spans="1:1" ht="14.25" customHeight="1">
      <c r="A946" s="46"/>
    </row>
    <row r="947" spans="1:1" ht="14.25" customHeight="1">
      <c r="A947" s="46"/>
    </row>
    <row r="948" spans="1:1" ht="14.25" customHeight="1">
      <c r="A948" s="46"/>
    </row>
    <row r="949" spans="1:1" ht="14.25" customHeight="1">
      <c r="A949" s="46"/>
    </row>
    <row r="950" spans="1:1" ht="14.25" customHeight="1">
      <c r="A950" s="46"/>
    </row>
    <row r="951" spans="1:1" ht="14.25" customHeight="1">
      <c r="A951" s="46"/>
    </row>
    <row r="952" spans="1:1" ht="14.25" customHeight="1">
      <c r="A952" s="46"/>
    </row>
    <row r="953" spans="1:1" ht="14.25" customHeight="1">
      <c r="A953" s="46"/>
    </row>
    <row r="954" spans="1:1" ht="14.25" customHeight="1">
      <c r="A954" s="46"/>
    </row>
    <row r="955" spans="1:1" ht="14.25" customHeight="1">
      <c r="A955" s="46"/>
    </row>
    <row r="956" spans="1:1" ht="14.25" customHeight="1">
      <c r="A956" s="46"/>
    </row>
    <row r="957" spans="1:1" ht="14.25" customHeight="1">
      <c r="A957" s="46"/>
    </row>
    <row r="958" spans="1:1" ht="14.25" customHeight="1">
      <c r="A958" s="46"/>
    </row>
    <row r="959" spans="1:1" ht="14.25" customHeight="1">
      <c r="A959" s="46"/>
    </row>
    <row r="960" spans="1:1" ht="14.25" customHeight="1">
      <c r="A960" s="46"/>
    </row>
    <row r="961" spans="1:1" ht="14.25" customHeight="1">
      <c r="A961" s="46"/>
    </row>
    <row r="962" spans="1:1" ht="14.25" customHeight="1">
      <c r="A962" s="46"/>
    </row>
    <row r="963" spans="1:1" ht="14.25" customHeight="1">
      <c r="A963" s="46"/>
    </row>
    <row r="964" spans="1:1" ht="14.25" customHeight="1">
      <c r="A964" s="46"/>
    </row>
    <row r="965" spans="1:1" ht="14.25" customHeight="1">
      <c r="A965" s="46"/>
    </row>
    <row r="966" spans="1:1" ht="14.25" customHeight="1">
      <c r="A966" s="46"/>
    </row>
    <row r="967" spans="1:1" ht="14.25" customHeight="1">
      <c r="A967" s="46"/>
    </row>
    <row r="968" spans="1:1" ht="14.25" customHeight="1">
      <c r="A968" s="46"/>
    </row>
    <row r="969" spans="1:1" ht="14.25" customHeight="1">
      <c r="A969" s="46"/>
    </row>
    <row r="970" spans="1:1" ht="14.25" customHeight="1">
      <c r="A970" s="46"/>
    </row>
    <row r="971" spans="1:1" ht="14.25" customHeight="1">
      <c r="A971" s="46"/>
    </row>
    <row r="972" spans="1:1" ht="14.25" customHeight="1">
      <c r="A972" s="46"/>
    </row>
    <row r="973" spans="1:1" ht="14.25" customHeight="1">
      <c r="A973" s="46"/>
    </row>
    <row r="974" spans="1:1" ht="14.25" customHeight="1">
      <c r="A974" s="46"/>
    </row>
    <row r="975" spans="1:1" ht="14.25" customHeight="1">
      <c r="A975" s="46"/>
    </row>
    <row r="976" spans="1:1" ht="14.25" customHeight="1">
      <c r="A976" s="46"/>
    </row>
    <row r="977" spans="1:1" ht="14.25" customHeight="1">
      <c r="A977" s="46"/>
    </row>
    <row r="978" spans="1:1" ht="14.25" customHeight="1">
      <c r="A978" s="46"/>
    </row>
    <row r="979" spans="1:1" ht="14.25" customHeight="1">
      <c r="A979" s="46"/>
    </row>
    <row r="980" spans="1:1" ht="14.25" customHeight="1">
      <c r="A980" s="46"/>
    </row>
    <row r="981" spans="1:1" ht="14.25" customHeight="1">
      <c r="A981" s="46"/>
    </row>
    <row r="982" spans="1:1" ht="14.25" customHeight="1">
      <c r="A982" s="46"/>
    </row>
    <row r="983" spans="1:1" ht="14.25" customHeight="1">
      <c r="A983" s="46"/>
    </row>
    <row r="984" spans="1:1" ht="14.25" customHeight="1">
      <c r="A984" s="46"/>
    </row>
    <row r="985" spans="1:1" ht="14.25" customHeight="1">
      <c r="A985" s="46"/>
    </row>
    <row r="986" spans="1:1" ht="14.25" customHeight="1">
      <c r="A986" s="46"/>
    </row>
    <row r="987" spans="1:1" ht="14.25" customHeight="1">
      <c r="A987" s="46"/>
    </row>
    <row r="988" spans="1:1" ht="14.25" customHeight="1">
      <c r="A988" s="46"/>
    </row>
    <row r="989" spans="1:1" ht="14.25" customHeight="1">
      <c r="A989" s="46"/>
    </row>
    <row r="990" spans="1:1" ht="14.25" customHeight="1">
      <c r="A990" s="46"/>
    </row>
    <row r="991" spans="1:1" ht="14.25" customHeight="1">
      <c r="A991" s="46"/>
    </row>
    <row r="992" spans="1:1" ht="14.25" customHeight="1">
      <c r="A992" s="46"/>
    </row>
    <row r="993" spans="1:1" ht="14.25" customHeight="1">
      <c r="A993" s="46"/>
    </row>
    <row r="994" spans="1:1" ht="14.25" customHeight="1">
      <c r="A994" s="46"/>
    </row>
    <row r="995" spans="1:1" ht="14.25" customHeight="1">
      <c r="A995" s="46"/>
    </row>
    <row r="996" spans="1:1" ht="14.25" customHeight="1">
      <c r="A996" s="46"/>
    </row>
    <row r="997" spans="1:1" ht="14.25" customHeight="1">
      <c r="A997" s="46"/>
    </row>
    <row r="998" spans="1:1" ht="14.25" customHeight="1">
      <c r="A998" s="46"/>
    </row>
    <row r="999" spans="1:1" ht="14.25" customHeight="1">
      <c r="A999" s="46"/>
    </row>
    <row r="1000" spans="1:1" ht="14.25" customHeight="1">
      <c r="A1000" s="46"/>
    </row>
    <row r="1001" spans="1:1" ht="14.25" customHeight="1">
      <c r="A1001" s="46"/>
    </row>
    <row r="1002" spans="1:1" ht="14.25" customHeight="1">
      <c r="A1002" s="46"/>
    </row>
    <row r="1003" spans="1:1" ht="14.25" customHeight="1">
      <c r="A1003" s="46"/>
    </row>
  </sheetData>
  <mergeCells count="3">
    <mergeCell ref="B2:D2"/>
    <mergeCell ref="F2:K2"/>
    <mergeCell ref="M2:Q2"/>
  </mergeCells>
  <pageMargins left="0.25" right="0.25" top="0.75" bottom="0.75" header="0" footer="0"/>
  <pageSetup fitToWidth="0" orientation="landscape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A97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3" width="14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454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v>3883.64</v>
      </c>
      <c r="C2" s="15"/>
      <c r="D2" s="115" t="s">
        <v>455</v>
      </c>
      <c r="E2" s="116" t="s">
        <v>229</v>
      </c>
      <c r="F2" s="117">
        <v>16</v>
      </c>
      <c r="G2" s="118" t="s">
        <v>230</v>
      </c>
    </row>
    <row r="3" spans="1:7" ht="14.25" customHeight="1">
      <c r="B3" s="108"/>
      <c r="C3" s="15"/>
      <c r="D3" s="115" t="s">
        <v>456</v>
      </c>
      <c r="E3" s="116" t="s">
        <v>417</v>
      </c>
      <c r="F3" s="120">
        <v>10</v>
      </c>
      <c r="G3" s="118" t="s">
        <v>230</v>
      </c>
    </row>
    <row r="4" spans="1:7" ht="14.25" customHeight="1">
      <c r="B4" s="108"/>
      <c r="C4" s="15"/>
      <c r="D4" s="160" t="s">
        <v>288</v>
      </c>
      <c r="E4" s="116" t="s">
        <v>233</v>
      </c>
      <c r="F4" s="117">
        <f>SUM(F2:F3)</f>
        <v>26</v>
      </c>
      <c r="G4" s="118"/>
    </row>
    <row r="5" spans="1:7" ht="14.25" customHeight="1">
      <c r="B5" s="108"/>
      <c r="C5" s="15"/>
      <c r="D5" s="119"/>
      <c r="E5" s="116"/>
      <c r="G5" s="118"/>
    </row>
    <row r="6" spans="1:7" ht="14.25" customHeight="1">
      <c r="A6" s="24" t="s">
        <v>457</v>
      </c>
      <c r="B6" s="121"/>
      <c r="C6" s="122"/>
      <c r="D6" s="178"/>
      <c r="E6" s="124" t="s">
        <v>234</v>
      </c>
      <c r="F6" s="125">
        <v>8</v>
      </c>
      <c r="G6" s="126" t="s">
        <v>235</v>
      </c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>
        <v>761.8</v>
      </c>
      <c r="C9" s="132">
        <v>1600</v>
      </c>
      <c r="D9" s="131" t="s">
        <v>458</v>
      </c>
    </row>
    <row r="10" spans="1:7" ht="14.25" customHeight="1">
      <c r="A10" s="6" t="s">
        <v>239</v>
      </c>
      <c r="B10" s="7">
        <v>0</v>
      </c>
      <c r="C10" s="130"/>
      <c r="D10" s="131"/>
    </row>
    <row r="11" spans="1:7" ht="14.25" customHeight="1">
      <c r="A11" s="6" t="s">
        <v>241</v>
      </c>
      <c r="B11" s="7">
        <v>189</v>
      </c>
      <c r="C11" s="130">
        <v>150</v>
      </c>
      <c r="D11" s="131" t="s">
        <v>242</v>
      </c>
    </row>
    <row r="12" spans="1:7" ht="14.25" customHeight="1">
      <c r="A12" s="6" t="s">
        <v>243</v>
      </c>
      <c r="B12" s="7">
        <v>0</v>
      </c>
      <c r="C12" s="130"/>
      <c r="D12" s="131"/>
    </row>
    <row r="13" spans="1:7" ht="14.25" customHeight="1">
      <c r="A13" s="6" t="s">
        <v>37</v>
      </c>
      <c r="B13" s="7">
        <v>80</v>
      </c>
      <c r="C13" s="132"/>
      <c r="D13" s="131"/>
    </row>
    <row r="14" spans="1:7" ht="14.25" customHeight="1">
      <c r="A14" s="6" t="s">
        <v>308</v>
      </c>
      <c r="B14" s="7">
        <v>0</v>
      </c>
      <c r="C14" s="132"/>
      <c r="D14" s="131"/>
    </row>
    <row r="15" spans="1:7" ht="14.25" customHeight="1">
      <c r="A15" s="6" t="s">
        <v>246</v>
      </c>
      <c r="B15" s="7">
        <v>0</v>
      </c>
      <c r="C15" s="132"/>
      <c r="D15" s="131"/>
    </row>
    <row r="16" spans="1:7" ht="14.25" customHeight="1">
      <c r="A16" s="6" t="s">
        <v>248</v>
      </c>
      <c r="B16" s="134">
        <v>0</v>
      </c>
      <c r="C16" s="180">
        <v>50</v>
      </c>
      <c r="D16" s="181" t="s">
        <v>459</v>
      </c>
    </row>
    <row r="17" spans="1:27" ht="14.25" customHeight="1">
      <c r="A17" s="6" t="s">
        <v>41</v>
      </c>
      <c r="B17" s="137">
        <f t="shared" ref="B17:C17" si="0">SUM(B9:B16)</f>
        <v>1030.8</v>
      </c>
      <c r="C17" s="137">
        <f t="shared" si="0"/>
        <v>1800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>
        <v>90</v>
      </c>
      <c r="D21" s="131"/>
    </row>
    <row r="22" spans="1:27" ht="14.25" customHeight="1">
      <c r="A22" s="6" t="s">
        <v>250</v>
      </c>
      <c r="B22" s="7">
        <v>0</v>
      </c>
      <c r="C22" s="130"/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/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1">SUM(B21:B25)</f>
        <v>0</v>
      </c>
      <c r="C26" s="137">
        <f t="shared" si="1"/>
        <v>90</v>
      </c>
      <c r="D26" s="138"/>
    </row>
    <row r="27" spans="1:27" ht="14.25" customHeight="1">
      <c r="A27" s="6" t="s">
        <v>81</v>
      </c>
      <c r="B27" s="7"/>
      <c r="C27" s="130"/>
      <c r="D27" s="131"/>
    </row>
    <row r="28" spans="1:27" ht="14.25" customHeight="1">
      <c r="A28" s="6" t="s">
        <v>86</v>
      </c>
      <c r="B28" s="8">
        <v>474.01</v>
      </c>
      <c r="C28" s="139">
        <v>560</v>
      </c>
      <c r="D28" s="131" t="s">
        <v>460</v>
      </c>
    </row>
    <row r="29" spans="1:27" ht="14.25" customHeight="1">
      <c r="A29" s="6" t="s">
        <v>87</v>
      </c>
      <c r="B29" s="7">
        <v>0</v>
      </c>
      <c r="C29" s="130">
        <v>360</v>
      </c>
      <c r="D29" s="131" t="s">
        <v>461</v>
      </c>
    </row>
    <row r="30" spans="1:27" ht="14.25" customHeight="1">
      <c r="A30" s="167" t="s">
        <v>255</v>
      </c>
      <c r="B30" s="168">
        <v>45.49</v>
      </c>
      <c r="C30" s="34"/>
      <c r="D30" s="141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80</v>
      </c>
      <c r="C31" s="130">
        <v>270</v>
      </c>
      <c r="D31" s="131" t="s">
        <v>462</v>
      </c>
    </row>
    <row r="32" spans="1:27" ht="14.25" customHeight="1">
      <c r="A32" s="6" t="s">
        <v>294</v>
      </c>
      <c r="B32" s="8">
        <v>0</v>
      </c>
      <c r="C32" s="139">
        <v>150</v>
      </c>
      <c r="D32" s="131" t="s">
        <v>463</v>
      </c>
    </row>
    <row r="33" spans="1:4" ht="14.25" customHeight="1">
      <c r="A33" s="6" t="s">
        <v>92</v>
      </c>
      <c r="B33" s="7">
        <v>0</v>
      </c>
      <c r="C33" s="130">
        <v>50</v>
      </c>
      <c r="D33" s="131"/>
    </row>
    <row r="34" spans="1:4" ht="14.25" customHeight="1">
      <c r="A34" s="6" t="s">
        <v>259</v>
      </c>
      <c r="B34" s="7"/>
      <c r="C34" s="130"/>
      <c r="D34" s="131" t="s">
        <v>260</v>
      </c>
    </row>
    <row r="35" spans="1:4" ht="14.25" customHeight="1">
      <c r="A35" s="6" t="s">
        <v>404</v>
      </c>
      <c r="B35" s="7"/>
      <c r="C35" s="130">
        <f>35*F6</f>
        <v>280</v>
      </c>
      <c r="D35" s="131" t="s">
        <v>262</v>
      </c>
    </row>
    <row r="36" spans="1:4" ht="14.25" customHeight="1">
      <c r="A36" s="6" t="s">
        <v>263</v>
      </c>
      <c r="B36" s="7">
        <v>2933.55</v>
      </c>
      <c r="C36" s="130">
        <v>4748</v>
      </c>
      <c r="D36" s="198" t="s">
        <v>464</v>
      </c>
    </row>
    <row r="37" spans="1:4" ht="14.25" customHeight="1">
      <c r="A37" s="6" t="s">
        <v>265</v>
      </c>
      <c r="B37" s="7">
        <v>806.07</v>
      </c>
      <c r="C37" s="130">
        <v>360</v>
      </c>
      <c r="D37" s="131" t="s">
        <v>465</v>
      </c>
    </row>
    <row r="38" spans="1:4" ht="14.25" customHeight="1">
      <c r="A38" s="6" t="s">
        <v>104</v>
      </c>
      <c r="B38" s="7">
        <v>0</v>
      </c>
      <c r="C38" s="130"/>
      <c r="D38" s="131"/>
    </row>
    <row r="39" spans="1:4" ht="14.25" customHeight="1">
      <c r="A39" s="6" t="s">
        <v>105</v>
      </c>
      <c r="B39" s="7">
        <v>0</v>
      </c>
      <c r="C39" s="130">
        <v>300</v>
      </c>
      <c r="D39" s="131" t="s">
        <v>466</v>
      </c>
    </row>
    <row r="40" spans="1:4" ht="14.25" customHeight="1">
      <c r="A40" s="6" t="s">
        <v>107</v>
      </c>
      <c r="B40" s="7">
        <v>0</v>
      </c>
      <c r="C40" s="130"/>
      <c r="D40" s="131" t="s">
        <v>467</v>
      </c>
    </row>
    <row r="41" spans="1:4" ht="14.25" customHeight="1">
      <c r="A41" s="6" t="s">
        <v>108</v>
      </c>
      <c r="B41" s="7">
        <v>0</v>
      </c>
      <c r="C41" s="130"/>
      <c r="D41" s="131"/>
    </row>
    <row r="42" spans="1:4" ht="14.25" customHeight="1">
      <c r="A42" s="6" t="s">
        <v>109</v>
      </c>
      <c r="B42" s="137">
        <f t="shared" ref="B42:C42" si="2">SUM(B27:B41)</f>
        <v>4339.12</v>
      </c>
      <c r="C42" s="137">
        <f t="shared" si="2"/>
        <v>7078</v>
      </c>
      <c r="D42" s="138"/>
    </row>
    <row r="43" spans="1:4" ht="14.25" customHeight="1">
      <c r="A43" s="6" t="s">
        <v>110</v>
      </c>
      <c r="B43" s="137">
        <f t="shared" ref="B43:C43" si="3">B42+B26</f>
        <v>4339.12</v>
      </c>
      <c r="C43" s="137">
        <f t="shared" si="3"/>
        <v>7168</v>
      </c>
      <c r="D43" s="138"/>
    </row>
    <row r="44" spans="1:4" ht="14.25" customHeight="1">
      <c r="A44" s="6"/>
      <c r="B44" s="137"/>
      <c r="C44" s="137"/>
      <c r="D44" s="138"/>
    </row>
    <row r="45" spans="1:4" ht="14.25" customHeight="1">
      <c r="A45" s="6" t="s">
        <v>270</v>
      </c>
      <c r="B45" s="7"/>
      <c r="C45" s="130"/>
      <c r="D45" s="131"/>
    </row>
    <row r="46" spans="1:4" ht="14.25" customHeight="1">
      <c r="A46" s="6" t="s">
        <v>271</v>
      </c>
      <c r="B46" s="7">
        <v>4783</v>
      </c>
      <c r="C46" s="130"/>
    </row>
    <row r="47" spans="1:4" ht="14.25" customHeight="1">
      <c r="A47" s="6" t="s">
        <v>272</v>
      </c>
      <c r="B47" s="147">
        <v>0</v>
      </c>
      <c r="C47" s="130"/>
      <c r="D47" s="131"/>
    </row>
    <row r="48" spans="1:4" ht="14.25" customHeight="1">
      <c r="A48" s="6" t="s">
        <v>116</v>
      </c>
      <c r="B48" s="137">
        <f>(B46)+(B47)+B45</f>
        <v>4783</v>
      </c>
      <c r="C48" s="137">
        <f>(C46)+(C47)</f>
        <v>0</v>
      </c>
      <c r="D48" s="138"/>
    </row>
    <row r="49" spans="1:4" ht="14.25" customHeight="1">
      <c r="A49" s="6" t="s">
        <v>273</v>
      </c>
      <c r="B49" s="7">
        <v>0</v>
      </c>
      <c r="C49" s="130"/>
      <c r="D49" s="131"/>
    </row>
    <row r="50" spans="1:4" ht="14.25" customHeight="1">
      <c r="A50" s="6" t="s">
        <v>274</v>
      </c>
      <c r="B50" s="7">
        <v>3161.03</v>
      </c>
      <c r="C50" s="130"/>
      <c r="D50" s="131" t="s">
        <v>275</v>
      </c>
    </row>
    <row r="51" spans="1:4" ht="14.25" customHeight="1">
      <c r="A51" s="6" t="s">
        <v>276</v>
      </c>
      <c r="B51" s="147">
        <v>0</v>
      </c>
      <c r="C51" s="130"/>
      <c r="D51" s="131"/>
    </row>
    <row r="52" spans="1:4" ht="14.25" customHeight="1">
      <c r="A52" s="6" t="s">
        <v>277</v>
      </c>
      <c r="B52" s="137">
        <f t="shared" ref="B52:C52" si="4">(B50)+(B51)</f>
        <v>3161.03</v>
      </c>
      <c r="C52" s="137">
        <f t="shared" si="4"/>
        <v>0</v>
      </c>
      <c r="D52" s="138"/>
    </row>
    <row r="53" spans="1:4" ht="14.25" customHeight="1">
      <c r="A53" s="6" t="s">
        <v>278</v>
      </c>
      <c r="B53" s="137">
        <f t="shared" ref="B53:C53" si="5">B48-B52</f>
        <v>1621.9699999999998</v>
      </c>
      <c r="C53" s="137">
        <f t="shared" si="5"/>
        <v>0</v>
      </c>
      <c r="D53" s="138"/>
    </row>
    <row r="54" spans="1:4" ht="14.25" customHeight="1">
      <c r="A54" s="6" t="s">
        <v>279</v>
      </c>
      <c r="B54" s="137">
        <f t="shared" ref="B54:C54" si="6">B17-B43+B53</f>
        <v>-1686.35</v>
      </c>
      <c r="C54" s="137">
        <f t="shared" si="6"/>
        <v>-5368</v>
      </c>
      <c r="D54" s="138"/>
    </row>
    <row r="55" spans="1:4" ht="14.25" customHeight="1">
      <c r="A55" s="6"/>
      <c r="B55" s="7"/>
      <c r="C55" s="130"/>
      <c r="D55" s="131"/>
    </row>
    <row r="56" spans="1:4" ht="14.25" customHeight="1">
      <c r="A56" s="24" t="s">
        <v>280</v>
      </c>
      <c r="B56" s="15"/>
      <c r="C56" s="148">
        <f>C36+C35</f>
        <v>5028</v>
      </c>
      <c r="D56" s="149" t="s">
        <v>422</v>
      </c>
    </row>
    <row r="57" spans="1:4" ht="14.25" customHeight="1">
      <c r="A57" s="24" t="s">
        <v>343</v>
      </c>
      <c r="B57" s="15"/>
      <c r="C57" s="148">
        <f>C54+C56</f>
        <v>-340</v>
      </c>
      <c r="D57" s="149"/>
    </row>
    <row r="58" spans="1:4" ht="14.25" customHeight="1">
      <c r="B58" s="15"/>
      <c r="C58" s="42"/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122"/>
      <c r="D61" s="149"/>
    </row>
    <row r="62" spans="1:4" ht="14.25" customHeight="1">
      <c r="A62" s="150" t="s">
        <v>283</v>
      </c>
      <c r="B62" s="151"/>
      <c r="C62" s="152"/>
      <c r="D62" s="153"/>
    </row>
    <row r="63" spans="1:4" ht="14.25" customHeight="1">
      <c r="A63" s="154" t="s">
        <v>229</v>
      </c>
      <c r="B63" s="17"/>
      <c r="C63" s="155">
        <v>2969</v>
      </c>
      <c r="D63" s="153"/>
    </row>
    <row r="64" spans="1:4" ht="14.25" customHeight="1">
      <c r="A64" s="156" t="s">
        <v>284</v>
      </c>
      <c r="B64" s="157"/>
      <c r="C64" s="158">
        <v>2374</v>
      </c>
      <c r="D64" s="153"/>
    </row>
    <row r="65" spans="2:4" ht="14.25" customHeight="1">
      <c r="B65" s="15"/>
      <c r="C65" s="40"/>
      <c r="D65" s="149"/>
    </row>
    <row r="66" spans="2:4" ht="14.25" customHeight="1">
      <c r="D66" s="109"/>
    </row>
    <row r="67" spans="2:4" ht="14.25" customHeight="1">
      <c r="D67" s="109"/>
    </row>
    <row r="68" spans="2:4" ht="14.25" customHeight="1">
      <c r="D68" s="109"/>
    </row>
    <row r="69" spans="2:4" ht="14.25" customHeight="1">
      <c r="D69" s="109"/>
    </row>
    <row r="70" spans="2:4" ht="14.25" customHeight="1">
      <c r="D70" s="109"/>
    </row>
    <row r="71" spans="2:4" ht="14.25" customHeight="1">
      <c r="D71" s="109"/>
    </row>
    <row r="72" spans="2:4" ht="14.25" customHeight="1">
      <c r="D72" s="109"/>
    </row>
    <row r="73" spans="2:4" ht="14.25" customHeight="1">
      <c r="D73" s="109"/>
    </row>
    <row r="74" spans="2:4" ht="14.25" customHeight="1">
      <c r="D74" s="109"/>
    </row>
    <row r="75" spans="2:4" ht="14.25" customHeight="1">
      <c r="D75" s="109"/>
    </row>
    <row r="76" spans="2:4" ht="14.25" customHeight="1">
      <c r="D76" s="109"/>
    </row>
    <row r="77" spans="2:4" ht="14.25" customHeight="1">
      <c r="D77" s="109"/>
    </row>
    <row r="78" spans="2:4" ht="14.25" customHeight="1">
      <c r="D78" s="109"/>
    </row>
    <row r="79" spans="2:4" ht="14.25" customHeight="1">
      <c r="D79" s="109"/>
    </row>
    <row r="80" spans="2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/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A97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2" width="12" customWidth="1"/>
    <col min="3" max="3" width="16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192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f>4305.61+166.5</f>
        <v>4472.1099999999997</v>
      </c>
      <c r="C2" s="15"/>
      <c r="D2" s="115" t="s">
        <v>468</v>
      </c>
      <c r="E2" s="116" t="s">
        <v>229</v>
      </c>
      <c r="F2" s="117">
        <v>75</v>
      </c>
      <c r="G2" s="118" t="s">
        <v>230</v>
      </c>
    </row>
    <row r="3" spans="1:7" ht="14.25" customHeight="1">
      <c r="B3" s="108"/>
      <c r="C3" s="15"/>
      <c r="D3" s="115" t="s">
        <v>469</v>
      </c>
      <c r="E3" s="116" t="s">
        <v>417</v>
      </c>
      <c r="F3" s="120">
        <v>0</v>
      </c>
      <c r="G3" s="118" t="s">
        <v>230</v>
      </c>
    </row>
    <row r="4" spans="1:7" ht="14.25" customHeight="1">
      <c r="B4" s="108"/>
      <c r="C4" s="15"/>
      <c r="D4" s="160" t="s">
        <v>288</v>
      </c>
      <c r="E4" s="116" t="s">
        <v>233</v>
      </c>
      <c r="F4" s="117">
        <f>SUM(F2:F3)</f>
        <v>75</v>
      </c>
      <c r="G4" s="118"/>
    </row>
    <row r="5" spans="1:7" ht="14.25" customHeight="1">
      <c r="B5" s="108"/>
      <c r="C5" s="15"/>
      <c r="D5" s="119"/>
      <c r="E5" s="116"/>
      <c r="G5" s="118"/>
    </row>
    <row r="6" spans="1:7" ht="14.25" customHeight="1">
      <c r="B6" s="121"/>
      <c r="C6" s="122"/>
      <c r="D6" s="178"/>
      <c r="E6" s="124" t="s">
        <v>234</v>
      </c>
      <c r="F6" s="125">
        <f>20</f>
        <v>20</v>
      </c>
      <c r="G6" s="126" t="s">
        <v>235</v>
      </c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>
        <v>145.35</v>
      </c>
      <c r="C9" s="132">
        <f t="shared" ref="C9:C15" si="0">B9</f>
        <v>145.35</v>
      </c>
      <c r="D9" s="131" t="s">
        <v>470</v>
      </c>
    </row>
    <row r="10" spans="1:7" ht="14.25" customHeight="1">
      <c r="A10" s="6" t="s">
        <v>239</v>
      </c>
      <c r="B10" s="7">
        <v>0</v>
      </c>
      <c r="C10" s="132">
        <f t="shared" si="0"/>
        <v>0</v>
      </c>
      <c r="D10" s="131"/>
    </row>
    <row r="11" spans="1:7" ht="14.25" customHeight="1">
      <c r="A11" s="6" t="s">
        <v>241</v>
      </c>
      <c r="B11" s="7">
        <v>166.5</v>
      </c>
      <c r="C11" s="132">
        <f t="shared" si="0"/>
        <v>166.5</v>
      </c>
      <c r="D11" s="131" t="s">
        <v>242</v>
      </c>
    </row>
    <row r="12" spans="1:7" ht="14.25" customHeight="1">
      <c r="A12" s="6" t="s">
        <v>243</v>
      </c>
      <c r="B12" s="7">
        <v>0</v>
      </c>
      <c r="C12" s="132">
        <f t="shared" si="0"/>
        <v>0</v>
      </c>
      <c r="D12" s="131"/>
    </row>
    <row r="13" spans="1:7" ht="14.25" customHeight="1">
      <c r="A13" s="6" t="s">
        <v>37</v>
      </c>
      <c r="B13" s="7">
        <v>80</v>
      </c>
      <c r="C13" s="132">
        <f t="shared" si="0"/>
        <v>80</v>
      </c>
      <c r="D13" s="131"/>
    </row>
    <row r="14" spans="1:7" ht="14.25" customHeight="1">
      <c r="A14" s="6" t="s">
        <v>308</v>
      </c>
      <c r="B14" s="7">
        <v>0</v>
      </c>
      <c r="C14" s="132">
        <f t="shared" si="0"/>
        <v>0</v>
      </c>
      <c r="D14" s="131"/>
    </row>
    <row r="15" spans="1:7" ht="14.25" customHeight="1">
      <c r="A15" s="6" t="s">
        <v>246</v>
      </c>
      <c r="B15" s="7">
        <v>4044</v>
      </c>
      <c r="C15" s="132">
        <f t="shared" si="0"/>
        <v>4044</v>
      </c>
      <c r="D15" s="131"/>
    </row>
    <row r="16" spans="1:7" ht="14.25" customHeight="1">
      <c r="A16" s="6" t="s">
        <v>248</v>
      </c>
      <c r="B16" s="134">
        <v>0</v>
      </c>
      <c r="C16" s="135"/>
      <c r="D16" s="181"/>
    </row>
    <row r="17" spans="1:27" ht="14.25" customHeight="1">
      <c r="A17" s="6" t="s">
        <v>41</v>
      </c>
      <c r="B17" s="137">
        <f>SUM(B9:B16)</f>
        <v>4435.8500000000004</v>
      </c>
      <c r="C17" s="137">
        <f>SUM(C9:C15)</f>
        <v>4435.8500000000004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/>
      <c r="D21" s="131"/>
    </row>
    <row r="22" spans="1:27" ht="14.25" customHeight="1">
      <c r="A22" s="6" t="s">
        <v>250</v>
      </c>
      <c r="B22" s="7">
        <v>0</v>
      </c>
      <c r="C22" s="130"/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/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1">SUM(B21:B25)</f>
        <v>0</v>
      </c>
      <c r="C26" s="137">
        <f t="shared" si="1"/>
        <v>0</v>
      </c>
      <c r="D26" s="138"/>
    </row>
    <row r="27" spans="1:27" ht="14.25" customHeight="1">
      <c r="A27" s="6" t="s">
        <v>81</v>
      </c>
      <c r="B27" s="7">
        <v>0</v>
      </c>
      <c r="C27" s="130"/>
      <c r="D27" s="131"/>
    </row>
    <row r="28" spans="1:27" ht="14.25" customHeight="1">
      <c r="A28" s="6" t="s">
        <v>86</v>
      </c>
      <c r="B28" s="7">
        <v>0</v>
      </c>
      <c r="C28" s="139"/>
      <c r="D28" s="131"/>
    </row>
    <row r="29" spans="1:27" ht="14.25" customHeight="1">
      <c r="A29" s="6" t="s">
        <v>87</v>
      </c>
      <c r="B29" s="7">
        <v>143.63999999999999</v>
      </c>
      <c r="C29" s="130">
        <f t="shared" ref="C29:C34" si="2">B29</f>
        <v>143.63999999999999</v>
      </c>
      <c r="D29" s="131"/>
    </row>
    <row r="30" spans="1:27" ht="14.25" customHeight="1">
      <c r="A30" s="167" t="s">
        <v>255</v>
      </c>
      <c r="B30" s="7">
        <v>0</v>
      </c>
      <c r="C30" s="130">
        <f t="shared" si="2"/>
        <v>0</v>
      </c>
      <c r="D30" s="141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45</v>
      </c>
      <c r="C31" s="130">
        <f t="shared" si="2"/>
        <v>45</v>
      </c>
      <c r="D31" s="131"/>
    </row>
    <row r="32" spans="1:27" ht="14.25" customHeight="1">
      <c r="A32" s="6" t="s">
        <v>294</v>
      </c>
      <c r="B32" s="7">
        <v>0</v>
      </c>
      <c r="C32" s="130">
        <f t="shared" si="2"/>
        <v>0</v>
      </c>
      <c r="D32" s="131"/>
    </row>
    <row r="33" spans="1:5" ht="14.25" customHeight="1">
      <c r="A33" s="6" t="s">
        <v>92</v>
      </c>
      <c r="B33" s="7">
        <v>130.5</v>
      </c>
      <c r="C33" s="130">
        <f t="shared" si="2"/>
        <v>130.5</v>
      </c>
      <c r="D33" s="131"/>
    </row>
    <row r="34" spans="1:5" ht="14.25" customHeight="1">
      <c r="A34" s="6" t="s">
        <v>259</v>
      </c>
      <c r="B34" s="7">
        <v>0</v>
      </c>
      <c r="C34" s="130">
        <f t="shared" si="2"/>
        <v>0</v>
      </c>
      <c r="D34" s="131" t="s">
        <v>260</v>
      </c>
    </row>
    <row r="35" spans="1:5" ht="14.25" customHeight="1">
      <c r="A35" s="6" t="s">
        <v>261</v>
      </c>
      <c r="B35" s="7"/>
      <c r="C35" s="130">
        <f>35*F6</f>
        <v>700</v>
      </c>
      <c r="D35" s="131" t="s">
        <v>262</v>
      </c>
    </row>
    <row r="36" spans="1:5" ht="14.25" customHeight="1">
      <c r="A36" s="6" t="s">
        <v>263</v>
      </c>
      <c r="B36" s="7">
        <v>0</v>
      </c>
      <c r="C36" s="130">
        <f>C64*2</f>
        <v>4748</v>
      </c>
      <c r="D36" s="198" t="s">
        <v>471</v>
      </c>
    </row>
    <row r="37" spans="1:5" ht="14.25" customHeight="1">
      <c r="A37" s="6" t="s">
        <v>265</v>
      </c>
      <c r="B37" s="7">
        <v>0</v>
      </c>
      <c r="C37" s="130"/>
      <c r="D37" s="131"/>
    </row>
    <row r="38" spans="1:5" ht="14.25" customHeight="1">
      <c r="A38" s="6" t="s">
        <v>104</v>
      </c>
      <c r="B38" s="7">
        <v>0</v>
      </c>
      <c r="C38" s="130"/>
      <c r="D38" s="131"/>
    </row>
    <row r="39" spans="1:5" ht="14.25" customHeight="1">
      <c r="A39" s="6" t="s">
        <v>105</v>
      </c>
      <c r="B39" s="7">
        <v>0</v>
      </c>
      <c r="C39" s="130"/>
      <c r="D39" s="131"/>
    </row>
    <row r="40" spans="1:5" ht="14.25" customHeight="1">
      <c r="A40" s="6" t="s">
        <v>107</v>
      </c>
      <c r="B40" s="7">
        <v>0</v>
      </c>
      <c r="C40" s="130"/>
      <c r="D40" s="131" t="s">
        <v>438</v>
      </c>
      <c r="E40" s="24" t="s">
        <v>472</v>
      </c>
    </row>
    <row r="41" spans="1:5" ht="14.25" customHeight="1">
      <c r="A41" s="6" t="s">
        <v>108</v>
      </c>
      <c r="B41" s="7">
        <v>3449.32</v>
      </c>
      <c r="C41" s="130">
        <f>B41</f>
        <v>3449.32</v>
      </c>
      <c r="D41" s="131"/>
    </row>
    <row r="42" spans="1:5" ht="14.25" customHeight="1">
      <c r="A42" s="6" t="s">
        <v>109</v>
      </c>
      <c r="B42" s="137">
        <f t="shared" ref="B42:C42" si="3">SUM(B27:B41)</f>
        <v>3768.46</v>
      </c>
      <c r="C42" s="137">
        <f t="shared" si="3"/>
        <v>9216.4600000000009</v>
      </c>
      <c r="D42" s="138"/>
    </row>
    <row r="43" spans="1:5" ht="14.25" customHeight="1">
      <c r="A43" s="6" t="s">
        <v>110</v>
      </c>
      <c r="B43" s="137">
        <f t="shared" ref="B43:C43" si="4">B42+B26</f>
        <v>3768.46</v>
      </c>
      <c r="C43" s="137">
        <f t="shared" si="4"/>
        <v>9216.4600000000009</v>
      </c>
      <c r="D43" s="138"/>
    </row>
    <row r="44" spans="1:5" ht="14.25" customHeight="1">
      <c r="A44" s="6"/>
      <c r="B44" s="137"/>
      <c r="C44" s="137"/>
      <c r="D44" s="138"/>
    </row>
    <row r="45" spans="1:5" ht="14.25" customHeight="1">
      <c r="A45" s="6" t="s">
        <v>270</v>
      </c>
      <c r="B45" s="7"/>
      <c r="C45" s="130"/>
      <c r="D45" s="131"/>
    </row>
    <row r="46" spans="1:5" ht="14.25" customHeight="1">
      <c r="A46" s="6" t="s">
        <v>271</v>
      </c>
      <c r="B46" s="7">
        <v>850</v>
      </c>
      <c r="C46" s="130">
        <f>B46</f>
        <v>850</v>
      </c>
    </row>
    <row r="47" spans="1:5" ht="14.25" customHeight="1">
      <c r="A47" s="6" t="s">
        <v>272</v>
      </c>
      <c r="B47" s="147">
        <v>0</v>
      </c>
      <c r="C47" s="130"/>
      <c r="D47" s="131"/>
    </row>
    <row r="48" spans="1:5" ht="14.25" customHeight="1">
      <c r="A48" s="6" t="s">
        <v>116</v>
      </c>
      <c r="B48" s="137">
        <f>(B46)+(B47)+B45</f>
        <v>850</v>
      </c>
      <c r="C48" s="137">
        <f>(C46)+(C47)</f>
        <v>850</v>
      </c>
      <c r="D48" s="138"/>
    </row>
    <row r="49" spans="1:4" ht="14.25" customHeight="1">
      <c r="A49" s="6" t="s">
        <v>273</v>
      </c>
      <c r="B49" s="7">
        <v>0</v>
      </c>
      <c r="C49" s="130"/>
      <c r="D49" s="131"/>
    </row>
    <row r="50" spans="1:4" ht="14.25" customHeight="1">
      <c r="A50" s="6" t="s">
        <v>274</v>
      </c>
      <c r="B50" s="7">
        <v>0</v>
      </c>
      <c r="C50" s="130"/>
      <c r="D50" s="131" t="s">
        <v>275</v>
      </c>
    </row>
    <row r="51" spans="1:4" ht="14.25" customHeight="1">
      <c r="A51" s="6" t="s">
        <v>276</v>
      </c>
      <c r="B51" s="147">
        <v>641.66</v>
      </c>
      <c r="C51" s="130">
        <f>B51</f>
        <v>641.66</v>
      </c>
      <c r="D51" s="131"/>
    </row>
    <row r="52" spans="1:4" ht="14.25" customHeight="1">
      <c r="A52" s="6" t="s">
        <v>277</v>
      </c>
      <c r="B52" s="137">
        <f t="shared" ref="B52:C52" si="5">(B50)+(B51)</f>
        <v>641.66</v>
      </c>
      <c r="C52" s="137">
        <f t="shared" si="5"/>
        <v>641.66</v>
      </c>
      <c r="D52" s="138"/>
    </row>
    <row r="53" spans="1:4" ht="14.25" customHeight="1">
      <c r="A53" s="6" t="s">
        <v>278</v>
      </c>
      <c r="B53" s="137">
        <f t="shared" ref="B53:C53" si="6">B48-B52</f>
        <v>208.34000000000003</v>
      </c>
      <c r="C53" s="137">
        <f t="shared" si="6"/>
        <v>208.34000000000003</v>
      </c>
      <c r="D53" s="138"/>
    </row>
    <row r="54" spans="1:4" ht="14.25" customHeight="1">
      <c r="A54" s="6" t="s">
        <v>279</v>
      </c>
      <c r="B54" s="137">
        <f t="shared" ref="B54:C54" si="7">B17-B43+B53</f>
        <v>875.73000000000036</v>
      </c>
      <c r="C54" s="137">
        <f t="shared" si="7"/>
        <v>-4572.2700000000004</v>
      </c>
      <c r="D54" s="138"/>
    </row>
    <row r="55" spans="1:4" ht="14.25" customHeight="1">
      <c r="A55" s="6"/>
      <c r="B55" s="7"/>
      <c r="C55" s="130"/>
      <c r="D55" s="131"/>
    </row>
    <row r="56" spans="1:4" ht="14.25" customHeight="1">
      <c r="A56" s="24" t="s">
        <v>280</v>
      </c>
      <c r="B56" s="15"/>
      <c r="C56" s="148">
        <f>C36+C35</f>
        <v>5448</v>
      </c>
      <c r="D56" s="149" t="s">
        <v>422</v>
      </c>
    </row>
    <row r="57" spans="1:4" ht="14.25" customHeight="1">
      <c r="A57" s="24" t="s">
        <v>343</v>
      </c>
      <c r="B57" s="15"/>
      <c r="C57" s="148">
        <f>C54+C56</f>
        <v>875.72999999999956</v>
      </c>
      <c r="D57" s="149"/>
    </row>
    <row r="58" spans="1:4" ht="14.25" customHeight="1">
      <c r="B58" s="15"/>
      <c r="C58" s="42"/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122"/>
      <c r="D61" s="149"/>
    </row>
    <row r="62" spans="1:4" ht="14.25" customHeight="1">
      <c r="A62" s="150" t="s">
        <v>283</v>
      </c>
      <c r="B62" s="151"/>
      <c r="C62" s="152"/>
      <c r="D62" s="153"/>
    </row>
    <row r="63" spans="1:4" ht="14.25" customHeight="1">
      <c r="A63" s="154" t="s">
        <v>229</v>
      </c>
      <c r="B63" s="17"/>
      <c r="C63" s="155">
        <v>2969</v>
      </c>
      <c r="D63" s="153"/>
    </row>
    <row r="64" spans="1:4" ht="14.25" customHeight="1">
      <c r="A64" s="156" t="s">
        <v>284</v>
      </c>
      <c r="B64" s="157"/>
      <c r="C64" s="158">
        <v>2374</v>
      </c>
      <c r="D64" s="153"/>
    </row>
    <row r="65" spans="2:4" ht="14.25" customHeight="1">
      <c r="B65" s="15"/>
      <c r="C65" s="40"/>
      <c r="D65" s="149"/>
    </row>
    <row r="66" spans="2:4" ht="14.25" customHeight="1">
      <c r="D66" s="109"/>
    </row>
    <row r="67" spans="2:4" ht="14.25" customHeight="1">
      <c r="D67" s="109"/>
    </row>
    <row r="68" spans="2:4" ht="14.25" customHeight="1">
      <c r="D68" s="109"/>
    </row>
    <row r="69" spans="2:4" ht="14.25" customHeight="1">
      <c r="D69" s="109"/>
    </row>
    <row r="70" spans="2:4" ht="14.25" customHeight="1">
      <c r="D70" s="109"/>
    </row>
    <row r="71" spans="2:4" ht="14.25" customHeight="1">
      <c r="D71" s="109"/>
    </row>
    <row r="72" spans="2:4" ht="14.25" customHeight="1">
      <c r="D72" s="109"/>
    </row>
    <row r="73" spans="2:4" ht="14.25" customHeight="1">
      <c r="D73" s="109"/>
    </row>
    <row r="74" spans="2:4" ht="14.25" customHeight="1">
      <c r="D74" s="109"/>
    </row>
    <row r="75" spans="2:4" ht="14.25" customHeight="1">
      <c r="D75" s="109"/>
    </row>
    <row r="76" spans="2:4" ht="14.25" customHeight="1">
      <c r="D76" s="109"/>
    </row>
    <row r="77" spans="2:4" ht="14.25" customHeight="1">
      <c r="D77" s="109"/>
    </row>
    <row r="78" spans="2:4" ht="14.25" customHeight="1">
      <c r="D78" s="109"/>
    </row>
    <row r="79" spans="2:4" ht="14.25" customHeight="1">
      <c r="D79" s="109"/>
    </row>
    <row r="80" spans="2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/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A97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2" width="12" customWidth="1"/>
    <col min="3" max="3" width="16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473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v>2947.94</v>
      </c>
      <c r="C2" s="15"/>
      <c r="D2" s="115" t="s">
        <v>474</v>
      </c>
      <c r="E2" s="116" t="s">
        <v>229</v>
      </c>
      <c r="F2" s="117">
        <v>14</v>
      </c>
      <c r="G2" s="118" t="s">
        <v>230</v>
      </c>
    </row>
    <row r="3" spans="1:7" ht="14.25" customHeight="1">
      <c r="B3" s="108"/>
      <c r="C3" s="15"/>
      <c r="D3" s="115" t="s">
        <v>475</v>
      </c>
      <c r="E3" s="116" t="s">
        <v>417</v>
      </c>
      <c r="F3" s="120">
        <v>17</v>
      </c>
      <c r="G3" s="118" t="s">
        <v>230</v>
      </c>
    </row>
    <row r="4" spans="1:7" ht="14.25" customHeight="1">
      <c r="B4" s="108"/>
      <c r="C4" s="15"/>
      <c r="D4" s="160" t="s">
        <v>288</v>
      </c>
      <c r="E4" s="116" t="s">
        <v>233</v>
      </c>
      <c r="F4" s="117">
        <f>SUM(F2:F3)</f>
        <v>31</v>
      </c>
      <c r="G4" s="118"/>
    </row>
    <row r="5" spans="1:7" ht="14.25" customHeight="1">
      <c r="B5" s="108"/>
      <c r="C5" s="15"/>
      <c r="D5" s="119"/>
      <c r="E5" s="116"/>
      <c r="G5" s="118"/>
    </row>
    <row r="6" spans="1:7" ht="14.25" customHeight="1">
      <c r="B6" s="121"/>
      <c r="C6" s="122"/>
      <c r="D6" s="178"/>
      <c r="E6" s="124" t="s">
        <v>234</v>
      </c>
      <c r="F6" s="125">
        <v>4</v>
      </c>
      <c r="G6" s="126"/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>
        <v>0</v>
      </c>
      <c r="C9" s="132"/>
      <c r="D9" s="131" t="s">
        <v>476</v>
      </c>
    </row>
    <row r="10" spans="1:7" ht="14.25" customHeight="1">
      <c r="A10" s="6" t="s">
        <v>239</v>
      </c>
      <c r="B10" s="7">
        <v>0</v>
      </c>
      <c r="C10" s="130"/>
      <c r="D10" s="131"/>
    </row>
    <row r="11" spans="1:7" ht="14.25" customHeight="1">
      <c r="A11" s="6" t="s">
        <v>241</v>
      </c>
      <c r="B11" s="7">
        <v>607.5</v>
      </c>
      <c r="C11" s="130">
        <v>600</v>
      </c>
      <c r="D11" s="131" t="s">
        <v>242</v>
      </c>
    </row>
    <row r="12" spans="1:7" ht="14.25" customHeight="1">
      <c r="A12" s="6" t="s">
        <v>243</v>
      </c>
      <c r="B12" s="7">
        <v>1211.74</v>
      </c>
      <c r="C12" s="130">
        <v>1200</v>
      </c>
      <c r="D12" s="131"/>
    </row>
    <row r="13" spans="1:7" ht="14.25" customHeight="1">
      <c r="A13" s="6" t="s">
        <v>37</v>
      </c>
      <c r="B13" s="7">
        <v>3655.62</v>
      </c>
      <c r="C13" s="132"/>
      <c r="D13" s="131"/>
    </row>
    <row r="14" spans="1:7" ht="14.25" customHeight="1">
      <c r="A14" s="6" t="s">
        <v>308</v>
      </c>
      <c r="B14" s="7">
        <v>0</v>
      </c>
      <c r="C14" s="132"/>
      <c r="D14" s="131"/>
    </row>
    <row r="15" spans="1:7" ht="14.25" customHeight="1">
      <c r="A15" s="6" t="s">
        <v>246</v>
      </c>
      <c r="B15" s="7">
        <v>0</v>
      </c>
      <c r="C15" s="132"/>
      <c r="D15" s="131"/>
    </row>
    <row r="16" spans="1:7" ht="14.25" customHeight="1">
      <c r="A16" s="6" t="s">
        <v>248</v>
      </c>
      <c r="B16" s="134">
        <v>0</v>
      </c>
      <c r="C16" s="135"/>
      <c r="D16" s="181"/>
    </row>
    <row r="17" spans="1:27" ht="14.25" customHeight="1">
      <c r="A17" s="6" t="s">
        <v>41</v>
      </c>
      <c r="B17" s="137">
        <f>SUM(B9:B16)</f>
        <v>5474.86</v>
      </c>
      <c r="C17" s="137">
        <f>SUM(C9:C15)</f>
        <v>1800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/>
      <c r="D21" s="131"/>
    </row>
    <row r="22" spans="1:27" ht="14.25" customHeight="1">
      <c r="A22" s="6" t="s">
        <v>250</v>
      </c>
      <c r="B22" s="7">
        <v>0</v>
      </c>
      <c r="C22" s="130">
        <v>0</v>
      </c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/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0">SUM(B21:B25)</f>
        <v>0</v>
      </c>
      <c r="C26" s="137">
        <f t="shared" si="0"/>
        <v>0</v>
      </c>
      <c r="D26" s="138"/>
    </row>
    <row r="27" spans="1:27" ht="14.25" customHeight="1">
      <c r="A27" s="6" t="s">
        <v>81</v>
      </c>
      <c r="B27" s="7">
        <v>0</v>
      </c>
      <c r="C27" s="130"/>
      <c r="D27" s="131"/>
    </row>
    <row r="28" spans="1:27" ht="14.25" customHeight="1">
      <c r="A28" s="6" t="s">
        <v>86</v>
      </c>
      <c r="B28" s="7">
        <v>1397.62</v>
      </c>
      <c r="C28" s="139">
        <v>500</v>
      </c>
      <c r="D28" s="131"/>
    </row>
    <row r="29" spans="1:27" ht="14.25" customHeight="1">
      <c r="A29" s="6" t="s">
        <v>87</v>
      </c>
      <c r="B29" s="7">
        <v>0</v>
      </c>
      <c r="C29" s="130"/>
      <c r="D29" s="131"/>
    </row>
    <row r="30" spans="1:27" ht="14.25" customHeight="1">
      <c r="A30" s="167" t="s">
        <v>255</v>
      </c>
      <c r="B30" s="7">
        <v>0</v>
      </c>
      <c r="C30" s="34"/>
      <c r="D30" s="141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0</v>
      </c>
      <c r="C31" s="130"/>
      <c r="D31" s="131"/>
    </row>
    <row r="32" spans="1:27" ht="14.25" customHeight="1">
      <c r="A32" s="6" t="s">
        <v>294</v>
      </c>
      <c r="B32" s="7">
        <v>0</v>
      </c>
      <c r="C32" s="139"/>
      <c r="D32" s="131"/>
    </row>
    <row r="33" spans="1:4" ht="14.25" customHeight="1">
      <c r="A33" s="6" t="s">
        <v>92</v>
      </c>
      <c r="B33" s="7">
        <v>0</v>
      </c>
      <c r="C33" s="130"/>
      <c r="D33" s="131"/>
    </row>
    <row r="34" spans="1:4" ht="14.25" customHeight="1">
      <c r="A34" s="6" t="s">
        <v>259</v>
      </c>
      <c r="B34" s="7">
        <v>0</v>
      </c>
      <c r="C34" s="130"/>
      <c r="D34" s="131" t="s">
        <v>260</v>
      </c>
    </row>
    <row r="35" spans="1:4" ht="14.25" customHeight="1">
      <c r="A35" s="6" t="s">
        <v>261</v>
      </c>
      <c r="B35" s="7"/>
      <c r="C35" s="130">
        <f>35*F6</f>
        <v>140</v>
      </c>
      <c r="D35" s="131" t="s">
        <v>262</v>
      </c>
    </row>
    <row r="36" spans="1:4" ht="14.25" customHeight="1">
      <c r="A36" s="6" t="s">
        <v>263</v>
      </c>
      <c r="B36" s="7">
        <v>0</v>
      </c>
      <c r="C36" s="130"/>
      <c r="D36" s="198" t="s">
        <v>477</v>
      </c>
    </row>
    <row r="37" spans="1:4" ht="14.25" customHeight="1">
      <c r="A37" s="6" t="s">
        <v>265</v>
      </c>
      <c r="B37" s="7">
        <v>0</v>
      </c>
      <c r="C37" s="130"/>
      <c r="D37" s="131"/>
    </row>
    <row r="38" spans="1:4" ht="14.25" customHeight="1">
      <c r="A38" s="6" t="s">
        <v>104</v>
      </c>
      <c r="B38" s="7">
        <v>0</v>
      </c>
      <c r="C38" s="130"/>
      <c r="D38" s="131"/>
    </row>
    <row r="39" spans="1:4" ht="14.25" customHeight="1">
      <c r="A39" s="6" t="s">
        <v>105</v>
      </c>
      <c r="B39" s="7">
        <v>0</v>
      </c>
      <c r="C39" s="130"/>
      <c r="D39" s="131"/>
    </row>
    <row r="40" spans="1:4" ht="14.25" customHeight="1">
      <c r="A40" s="6" t="s">
        <v>107</v>
      </c>
      <c r="B40" s="7">
        <v>0</v>
      </c>
      <c r="C40" s="130">
        <v>250</v>
      </c>
      <c r="D40" s="131"/>
    </row>
    <row r="41" spans="1:4" ht="14.25" customHeight="1">
      <c r="A41" s="6" t="s">
        <v>108</v>
      </c>
      <c r="B41" s="7">
        <v>1425</v>
      </c>
      <c r="C41" s="130">
        <v>1450</v>
      </c>
      <c r="D41" s="131"/>
    </row>
    <row r="42" spans="1:4" ht="14.25" customHeight="1">
      <c r="A42" s="6" t="s">
        <v>109</v>
      </c>
      <c r="B42" s="137">
        <f t="shared" ref="B42:C42" si="1">SUM(B27:B41)</f>
        <v>2822.62</v>
      </c>
      <c r="C42" s="137">
        <f t="shared" si="1"/>
        <v>2340</v>
      </c>
      <c r="D42" s="138"/>
    </row>
    <row r="43" spans="1:4" ht="14.25" customHeight="1">
      <c r="A43" s="6" t="s">
        <v>110</v>
      </c>
      <c r="B43" s="137">
        <f t="shared" ref="B43:C43" si="2">B42+B26</f>
        <v>2822.62</v>
      </c>
      <c r="C43" s="137">
        <f t="shared" si="2"/>
        <v>2340</v>
      </c>
      <c r="D43" s="138"/>
    </row>
    <row r="44" spans="1:4" ht="14.25" customHeight="1">
      <c r="A44" s="6"/>
      <c r="B44" s="137"/>
      <c r="C44" s="137"/>
      <c r="D44" s="138"/>
    </row>
    <row r="45" spans="1:4" ht="14.25" customHeight="1">
      <c r="A45" s="6" t="s">
        <v>270</v>
      </c>
      <c r="B45" s="7"/>
      <c r="C45" s="130"/>
      <c r="D45" s="131"/>
    </row>
    <row r="46" spans="1:4" ht="14.25" customHeight="1">
      <c r="A46" s="6" t="s">
        <v>271</v>
      </c>
      <c r="B46" s="7">
        <v>0</v>
      </c>
      <c r="C46" s="130"/>
    </row>
    <row r="47" spans="1:4" ht="14.25" customHeight="1">
      <c r="A47" s="6" t="s">
        <v>272</v>
      </c>
      <c r="B47" s="147">
        <v>0</v>
      </c>
      <c r="C47" s="130">
        <v>200</v>
      </c>
      <c r="D47" s="131"/>
    </row>
    <row r="48" spans="1:4" ht="14.25" customHeight="1">
      <c r="A48" s="6" t="s">
        <v>116</v>
      </c>
      <c r="B48" s="137">
        <f>(B46)+(B47)+B45</f>
        <v>0</v>
      </c>
      <c r="C48" s="137">
        <f>(C46)+(C47)</f>
        <v>200</v>
      </c>
      <c r="D48" s="138"/>
    </row>
    <row r="49" spans="1:4" ht="14.25" customHeight="1">
      <c r="A49" s="6" t="s">
        <v>273</v>
      </c>
      <c r="B49" s="7">
        <v>0</v>
      </c>
      <c r="C49" s="130"/>
      <c r="D49" s="131"/>
    </row>
    <row r="50" spans="1:4" ht="14.25" customHeight="1">
      <c r="A50" s="6" t="s">
        <v>274</v>
      </c>
      <c r="B50" s="7">
        <v>415.72</v>
      </c>
      <c r="C50" s="130">
        <v>300</v>
      </c>
      <c r="D50" s="131" t="s">
        <v>275</v>
      </c>
    </row>
    <row r="51" spans="1:4" ht="14.25" customHeight="1">
      <c r="A51" s="6" t="s">
        <v>276</v>
      </c>
      <c r="B51" s="147">
        <v>215</v>
      </c>
      <c r="C51" s="130"/>
      <c r="D51" s="131"/>
    </row>
    <row r="52" spans="1:4" ht="14.25" customHeight="1">
      <c r="A52" s="6" t="s">
        <v>277</v>
      </c>
      <c r="B52" s="137">
        <f t="shared" ref="B52:C52" si="3">(B50)+(B51)</f>
        <v>630.72</v>
      </c>
      <c r="C52" s="137">
        <f t="shared" si="3"/>
        <v>300</v>
      </c>
      <c r="D52" s="138"/>
    </row>
    <row r="53" spans="1:4" ht="14.25" customHeight="1">
      <c r="A53" s="6" t="s">
        <v>278</v>
      </c>
      <c r="B53" s="137">
        <f t="shared" ref="B53:C53" si="4">B48-B52</f>
        <v>-630.72</v>
      </c>
      <c r="C53" s="137">
        <f t="shared" si="4"/>
        <v>-100</v>
      </c>
      <c r="D53" s="138"/>
    </row>
    <row r="54" spans="1:4" ht="14.25" customHeight="1">
      <c r="A54" s="6" t="s">
        <v>279</v>
      </c>
      <c r="B54" s="137">
        <f t="shared" ref="B54:C54" si="5">B17-B43+B53</f>
        <v>2021.5199999999998</v>
      </c>
      <c r="C54" s="137">
        <f t="shared" si="5"/>
        <v>-640</v>
      </c>
      <c r="D54" s="138"/>
    </row>
    <row r="55" spans="1:4" ht="14.25" customHeight="1">
      <c r="A55" s="6"/>
      <c r="B55" s="7"/>
      <c r="C55" s="130"/>
      <c r="D55" s="131"/>
    </row>
    <row r="56" spans="1:4" ht="14.25" customHeight="1">
      <c r="A56" s="24" t="s">
        <v>280</v>
      </c>
      <c r="B56" s="15"/>
      <c r="C56" s="148">
        <f>C36+C40+C35</f>
        <v>390</v>
      </c>
      <c r="D56" s="149" t="s">
        <v>478</v>
      </c>
    </row>
    <row r="57" spans="1:4" ht="14.25" customHeight="1">
      <c r="A57" s="24" t="s">
        <v>343</v>
      </c>
      <c r="B57" s="15"/>
      <c r="C57" s="148">
        <f>C54+C56</f>
        <v>-250</v>
      </c>
      <c r="D57" s="149"/>
    </row>
    <row r="58" spans="1:4" ht="14.25" customHeight="1">
      <c r="B58" s="15"/>
      <c r="C58" s="42"/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122"/>
      <c r="D61" s="149"/>
    </row>
    <row r="62" spans="1:4" ht="14.25" customHeight="1">
      <c r="A62" s="150" t="s">
        <v>283</v>
      </c>
      <c r="B62" s="151"/>
      <c r="C62" s="152"/>
      <c r="D62" s="153"/>
    </row>
    <row r="63" spans="1:4" ht="14.25" customHeight="1">
      <c r="A63" s="154" t="s">
        <v>229</v>
      </c>
      <c r="B63" s="17"/>
      <c r="C63" s="155">
        <v>2969</v>
      </c>
      <c r="D63" s="153"/>
    </row>
    <row r="64" spans="1:4" ht="14.25" customHeight="1">
      <c r="A64" s="156" t="s">
        <v>284</v>
      </c>
      <c r="B64" s="157"/>
      <c r="C64" s="158">
        <v>2374</v>
      </c>
      <c r="D64" s="153"/>
    </row>
    <row r="65" spans="2:4" ht="14.25" customHeight="1">
      <c r="B65" s="15"/>
      <c r="C65" s="40"/>
      <c r="D65" s="149"/>
    </row>
    <row r="66" spans="2:4" ht="14.25" customHeight="1">
      <c r="D66" s="109"/>
    </row>
    <row r="67" spans="2:4" ht="14.25" customHeight="1">
      <c r="D67" s="109"/>
    </row>
    <row r="68" spans="2:4" ht="14.25" customHeight="1">
      <c r="D68" s="109"/>
    </row>
    <row r="69" spans="2:4" ht="14.25" customHeight="1">
      <c r="D69" s="109"/>
    </row>
    <row r="70" spans="2:4" ht="14.25" customHeight="1">
      <c r="D70" s="109"/>
    </row>
    <row r="71" spans="2:4" ht="14.25" customHeight="1">
      <c r="D71" s="109"/>
    </row>
    <row r="72" spans="2:4" ht="14.25" customHeight="1">
      <c r="D72" s="109"/>
    </row>
    <row r="73" spans="2:4" ht="14.25" customHeight="1">
      <c r="D73" s="109"/>
    </row>
    <row r="74" spans="2:4" ht="14.25" customHeight="1">
      <c r="D74" s="109"/>
    </row>
    <row r="75" spans="2:4" ht="14.25" customHeight="1">
      <c r="D75" s="109"/>
    </row>
    <row r="76" spans="2:4" ht="14.25" customHeight="1">
      <c r="D76" s="109"/>
    </row>
    <row r="77" spans="2:4" ht="14.25" customHeight="1">
      <c r="D77" s="109"/>
    </row>
    <row r="78" spans="2:4" ht="14.25" customHeight="1">
      <c r="D78" s="109"/>
    </row>
    <row r="79" spans="2:4" ht="14.25" customHeight="1">
      <c r="D79" s="109"/>
    </row>
    <row r="80" spans="2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/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</sheetData>
  <pageMargins left="0.7" right="0.7" top="0.75" bottom="0.75" header="0" footer="0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A97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2" width="12" customWidth="1"/>
    <col min="3" max="3" width="16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479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f>4159.69</f>
        <v>4159.6899999999996</v>
      </c>
      <c r="C2" s="15"/>
      <c r="D2" s="115" t="s">
        <v>480</v>
      </c>
      <c r="E2" s="116" t="s">
        <v>229</v>
      </c>
      <c r="F2" s="117">
        <v>13</v>
      </c>
      <c r="G2" s="118" t="s">
        <v>230</v>
      </c>
    </row>
    <row r="3" spans="1:7" ht="14.25" customHeight="1">
      <c r="B3" s="108"/>
      <c r="C3" s="15"/>
      <c r="D3" s="115" t="s">
        <v>481</v>
      </c>
      <c r="E3" s="116" t="s">
        <v>417</v>
      </c>
      <c r="F3" s="120">
        <v>26</v>
      </c>
      <c r="G3" s="118" t="s">
        <v>230</v>
      </c>
    </row>
    <row r="4" spans="1:7" ht="14.25" customHeight="1">
      <c r="B4" s="108"/>
      <c r="C4" s="15"/>
      <c r="D4" s="160" t="s">
        <v>288</v>
      </c>
      <c r="E4" s="116" t="s">
        <v>233</v>
      </c>
      <c r="F4" s="117">
        <f>SUM(F2:F3)</f>
        <v>39</v>
      </c>
      <c r="G4" s="118"/>
    </row>
    <row r="5" spans="1:7" ht="14.25" customHeight="1">
      <c r="B5" s="108"/>
      <c r="C5" s="15"/>
      <c r="D5" s="119"/>
      <c r="E5" s="116"/>
      <c r="G5" s="118"/>
    </row>
    <row r="6" spans="1:7" ht="14.25" customHeight="1">
      <c r="B6" s="121"/>
      <c r="C6" s="122"/>
      <c r="D6" s="178"/>
      <c r="E6" s="124" t="s">
        <v>234</v>
      </c>
      <c r="F6" s="125">
        <f>7</f>
        <v>7</v>
      </c>
      <c r="G6" s="126" t="s">
        <v>401</v>
      </c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>
        <v>1356.39</v>
      </c>
      <c r="C9" s="132">
        <f>B9</f>
        <v>1356.39</v>
      </c>
      <c r="D9" s="131" t="s">
        <v>482</v>
      </c>
    </row>
    <row r="10" spans="1:7" ht="14.25" customHeight="1">
      <c r="A10" s="6" t="s">
        <v>239</v>
      </c>
      <c r="B10" s="7">
        <v>0</v>
      </c>
      <c r="C10" s="130"/>
      <c r="D10" s="131"/>
    </row>
    <row r="11" spans="1:7" ht="14.25" customHeight="1">
      <c r="A11" s="6" t="s">
        <v>241</v>
      </c>
      <c r="B11" s="7">
        <v>0</v>
      </c>
      <c r="C11" s="130"/>
      <c r="D11" s="131" t="s">
        <v>242</v>
      </c>
    </row>
    <row r="12" spans="1:7" ht="14.25" customHeight="1">
      <c r="A12" s="6" t="s">
        <v>243</v>
      </c>
      <c r="B12" s="7">
        <v>0</v>
      </c>
      <c r="C12" s="130"/>
      <c r="D12" s="131"/>
    </row>
    <row r="13" spans="1:7" ht="14.25" customHeight="1">
      <c r="A13" s="6" t="s">
        <v>37</v>
      </c>
      <c r="B13" s="7">
        <v>0</v>
      </c>
      <c r="C13" s="132"/>
      <c r="D13" s="131"/>
    </row>
    <row r="14" spans="1:7" ht="14.25" customHeight="1">
      <c r="A14" s="6" t="s">
        <v>308</v>
      </c>
      <c r="B14" s="7">
        <v>0</v>
      </c>
      <c r="C14" s="132"/>
      <c r="D14" s="131"/>
    </row>
    <row r="15" spans="1:7" ht="14.25" customHeight="1">
      <c r="A15" s="6" t="s">
        <v>246</v>
      </c>
      <c r="B15" s="7">
        <v>0</v>
      </c>
      <c r="C15" s="132"/>
      <c r="D15" s="131"/>
    </row>
    <row r="16" spans="1:7" ht="14.25" customHeight="1">
      <c r="A16" s="6" t="s">
        <v>248</v>
      </c>
      <c r="B16" s="134">
        <v>0</v>
      </c>
      <c r="C16" s="135"/>
      <c r="D16" s="181"/>
    </row>
    <row r="17" spans="1:27" ht="14.25" customHeight="1">
      <c r="A17" s="6" t="s">
        <v>41</v>
      </c>
      <c r="B17" s="137">
        <f>SUM(B9:B16)</f>
        <v>1356.39</v>
      </c>
      <c r="C17" s="137">
        <f>SUM(C9:C15)</f>
        <v>1356.39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/>
      <c r="D21" s="131"/>
    </row>
    <row r="22" spans="1:27" ht="14.25" customHeight="1">
      <c r="A22" s="6" t="s">
        <v>250</v>
      </c>
      <c r="B22" s="7">
        <v>0</v>
      </c>
      <c r="C22" s="130"/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/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0">SUM(B21:B25)</f>
        <v>0</v>
      </c>
      <c r="C26" s="137">
        <f t="shared" si="0"/>
        <v>0</v>
      </c>
      <c r="D26" s="138"/>
    </row>
    <row r="27" spans="1:27" ht="14.25" customHeight="1">
      <c r="A27" s="6" t="s">
        <v>81</v>
      </c>
      <c r="B27" s="7"/>
      <c r="C27" s="130"/>
      <c r="D27" s="131"/>
    </row>
    <row r="28" spans="1:27" ht="14.25" customHeight="1">
      <c r="A28" s="6" t="s">
        <v>86</v>
      </c>
      <c r="B28" s="7">
        <v>117.42</v>
      </c>
      <c r="C28" s="139">
        <f>B28</f>
        <v>117.42</v>
      </c>
      <c r="D28" s="131"/>
    </row>
    <row r="29" spans="1:27" ht="14.25" customHeight="1">
      <c r="A29" s="6" t="s">
        <v>87</v>
      </c>
      <c r="B29" s="7">
        <v>0</v>
      </c>
      <c r="C29" s="130"/>
      <c r="D29" s="131"/>
    </row>
    <row r="30" spans="1:27" ht="14.25" customHeight="1">
      <c r="A30" s="167" t="s">
        <v>255</v>
      </c>
      <c r="B30" s="7">
        <v>0</v>
      </c>
      <c r="C30" s="34"/>
      <c r="D30" s="141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0</v>
      </c>
      <c r="C31" s="130"/>
      <c r="D31" s="131"/>
    </row>
    <row r="32" spans="1:27" ht="14.25" customHeight="1">
      <c r="A32" s="6" t="s">
        <v>294</v>
      </c>
      <c r="B32" s="7">
        <v>0</v>
      </c>
      <c r="C32" s="139"/>
      <c r="D32" s="131"/>
    </row>
    <row r="33" spans="1:4" ht="14.25" customHeight="1">
      <c r="A33" s="6" t="s">
        <v>92</v>
      </c>
      <c r="B33" s="7">
        <v>0</v>
      </c>
      <c r="C33" s="130"/>
      <c r="D33" s="131"/>
    </row>
    <row r="34" spans="1:4" ht="14.25" customHeight="1">
      <c r="A34" s="6" t="s">
        <v>259</v>
      </c>
      <c r="B34" s="7">
        <v>0</v>
      </c>
      <c r="C34" s="130"/>
      <c r="D34" s="131" t="s">
        <v>260</v>
      </c>
    </row>
    <row r="35" spans="1:4" ht="14.25" customHeight="1">
      <c r="A35" s="6" t="s">
        <v>261</v>
      </c>
      <c r="B35" s="7"/>
      <c r="C35" s="130">
        <f>35*F6</f>
        <v>245</v>
      </c>
      <c r="D35" s="131" t="s">
        <v>262</v>
      </c>
    </row>
    <row r="36" spans="1:4" ht="14.25" customHeight="1">
      <c r="A36" s="6" t="s">
        <v>263</v>
      </c>
      <c r="B36" s="7">
        <v>2345.54</v>
      </c>
      <c r="C36" s="130">
        <f>C64</f>
        <v>2374</v>
      </c>
      <c r="D36" s="198" t="s">
        <v>483</v>
      </c>
    </row>
    <row r="37" spans="1:4" ht="14.25" customHeight="1">
      <c r="A37" s="6" t="s">
        <v>265</v>
      </c>
      <c r="B37" s="7">
        <v>0</v>
      </c>
      <c r="C37" s="130"/>
      <c r="D37" s="131"/>
    </row>
    <row r="38" spans="1:4" ht="14.25" customHeight="1">
      <c r="A38" s="6" t="s">
        <v>104</v>
      </c>
      <c r="B38" s="7">
        <v>0</v>
      </c>
      <c r="C38" s="130"/>
      <c r="D38" s="131"/>
    </row>
    <row r="39" spans="1:4" ht="14.25" customHeight="1">
      <c r="A39" s="6" t="s">
        <v>105</v>
      </c>
      <c r="B39" s="7">
        <v>0</v>
      </c>
      <c r="C39" s="130"/>
      <c r="D39" s="131"/>
    </row>
    <row r="40" spans="1:4" ht="14.25" customHeight="1">
      <c r="A40" s="6" t="s">
        <v>107</v>
      </c>
      <c r="B40" s="7">
        <v>6270.52</v>
      </c>
      <c r="C40" s="130">
        <v>0</v>
      </c>
      <c r="D40" s="131"/>
    </row>
    <row r="41" spans="1:4" ht="14.25" customHeight="1">
      <c r="A41" s="6" t="s">
        <v>108</v>
      </c>
      <c r="B41" s="7">
        <v>2800</v>
      </c>
      <c r="C41" s="130">
        <f>B41</f>
        <v>2800</v>
      </c>
      <c r="D41" s="131"/>
    </row>
    <row r="42" spans="1:4" ht="14.25" customHeight="1">
      <c r="A42" s="6" t="s">
        <v>109</v>
      </c>
      <c r="B42" s="137">
        <f t="shared" ref="B42:C42" si="1">SUM(B27:B41)</f>
        <v>11533.48</v>
      </c>
      <c r="C42" s="137">
        <f t="shared" si="1"/>
        <v>5536.42</v>
      </c>
      <c r="D42" s="138"/>
    </row>
    <row r="43" spans="1:4" ht="14.25" customHeight="1">
      <c r="A43" s="6" t="s">
        <v>110</v>
      </c>
      <c r="B43" s="137">
        <f t="shared" ref="B43:C43" si="2">B42+B26</f>
        <v>11533.48</v>
      </c>
      <c r="C43" s="137">
        <f t="shared" si="2"/>
        <v>5536.42</v>
      </c>
      <c r="D43" s="138"/>
    </row>
    <row r="44" spans="1:4" ht="14.25" customHeight="1">
      <c r="A44" s="6"/>
      <c r="B44" s="137"/>
      <c r="C44" s="137"/>
      <c r="D44" s="138"/>
    </row>
    <row r="45" spans="1:4" ht="14.25" customHeight="1">
      <c r="A45" s="6" t="s">
        <v>270</v>
      </c>
      <c r="B45" s="7"/>
      <c r="C45" s="130"/>
      <c r="D45" s="131"/>
    </row>
    <row r="46" spans="1:4" ht="14.25" customHeight="1">
      <c r="A46" s="6" t="s">
        <v>271</v>
      </c>
      <c r="B46" s="7">
        <v>0</v>
      </c>
      <c r="C46" s="130"/>
    </row>
    <row r="47" spans="1:4" ht="14.25" customHeight="1">
      <c r="A47" s="6" t="s">
        <v>272</v>
      </c>
      <c r="B47" s="147">
        <v>0</v>
      </c>
      <c r="C47" s="130"/>
      <c r="D47" s="131"/>
    </row>
    <row r="48" spans="1:4" ht="14.25" customHeight="1">
      <c r="A48" s="6" t="s">
        <v>116</v>
      </c>
      <c r="B48" s="137">
        <f>(B46)+(B47)+B45</f>
        <v>0</v>
      </c>
      <c r="C48" s="137">
        <f>(C46)+(C47)</f>
        <v>0</v>
      </c>
      <c r="D48" s="138"/>
    </row>
    <row r="49" spans="1:4" ht="14.25" customHeight="1">
      <c r="A49" s="6" t="s">
        <v>273</v>
      </c>
      <c r="B49" s="7">
        <v>0</v>
      </c>
      <c r="C49" s="130"/>
      <c r="D49" s="131"/>
    </row>
    <row r="50" spans="1:4" ht="14.25" customHeight="1">
      <c r="A50" s="6" t="s">
        <v>274</v>
      </c>
      <c r="B50" s="7">
        <v>0</v>
      </c>
      <c r="C50" s="130"/>
      <c r="D50" s="131" t="s">
        <v>275</v>
      </c>
    </row>
    <row r="51" spans="1:4" ht="14.25" customHeight="1">
      <c r="A51" s="6" t="s">
        <v>276</v>
      </c>
      <c r="B51" s="147">
        <v>0</v>
      </c>
      <c r="C51" s="130"/>
      <c r="D51" s="131"/>
    </row>
    <row r="52" spans="1:4" ht="14.25" customHeight="1">
      <c r="A52" s="6" t="s">
        <v>277</v>
      </c>
      <c r="B52" s="137">
        <f t="shared" ref="B52:C52" si="3">(B50)+(B51)</f>
        <v>0</v>
      </c>
      <c r="C52" s="137">
        <f t="shared" si="3"/>
        <v>0</v>
      </c>
      <c r="D52" s="138"/>
    </row>
    <row r="53" spans="1:4" ht="14.25" customHeight="1">
      <c r="A53" s="6" t="s">
        <v>278</v>
      </c>
      <c r="B53" s="137">
        <f t="shared" ref="B53:C53" si="4">B48-B52</f>
        <v>0</v>
      </c>
      <c r="C53" s="137">
        <f t="shared" si="4"/>
        <v>0</v>
      </c>
      <c r="D53" s="138"/>
    </row>
    <row r="54" spans="1:4" ht="14.25" customHeight="1">
      <c r="A54" s="6" t="s">
        <v>279</v>
      </c>
      <c r="B54" s="137">
        <f t="shared" ref="B54:C54" si="5">B17-B43+B53</f>
        <v>-10177.09</v>
      </c>
      <c r="C54" s="137">
        <f t="shared" si="5"/>
        <v>-4180.03</v>
      </c>
      <c r="D54" s="138"/>
    </row>
    <row r="55" spans="1:4" ht="14.25" customHeight="1">
      <c r="A55" s="6"/>
      <c r="B55" s="7"/>
      <c r="C55" s="130"/>
      <c r="D55" s="131"/>
    </row>
    <row r="56" spans="1:4" ht="14.25" customHeight="1">
      <c r="A56" s="24" t="s">
        <v>280</v>
      </c>
      <c r="B56" s="15"/>
      <c r="C56" s="148">
        <f>C36+C35</f>
        <v>2619</v>
      </c>
      <c r="D56" s="149" t="s">
        <v>342</v>
      </c>
    </row>
    <row r="57" spans="1:4" ht="14.25" customHeight="1">
      <c r="A57" s="24" t="s">
        <v>343</v>
      </c>
      <c r="B57" s="15"/>
      <c r="C57" s="148">
        <f>C54+C56</f>
        <v>-1561.0299999999997</v>
      </c>
      <c r="D57" s="149"/>
    </row>
    <row r="58" spans="1:4" ht="14.25" customHeight="1">
      <c r="B58" s="15"/>
      <c r="C58" s="42"/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122"/>
      <c r="D61" s="149"/>
    </row>
    <row r="62" spans="1:4" ht="14.25" customHeight="1">
      <c r="A62" s="150" t="s">
        <v>283</v>
      </c>
      <c r="B62" s="151"/>
      <c r="C62" s="152"/>
      <c r="D62" s="153"/>
    </row>
    <row r="63" spans="1:4" ht="14.25" customHeight="1">
      <c r="A63" s="154" t="s">
        <v>229</v>
      </c>
      <c r="B63" s="17"/>
      <c r="C63" s="155">
        <v>2969</v>
      </c>
      <c r="D63" s="153"/>
    </row>
    <row r="64" spans="1:4" ht="14.25" customHeight="1">
      <c r="A64" s="156" t="s">
        <v>284</v>
      </c>
      <c r="B64" s="157"/>
      <c r="C64" s="158">
        <v>2374</v>
      </c>
      <c r="D64" s="153"/>
    </row>
    <row r="65" spans="2:4" ht="14.25" customHeight="1">
      <c r="B65" s="15"/>
      <c r="C65" s="40"/>
      <c r="D65" s="149"/>
    </row>
    <row r="66" spans="2:4" ht="14.25" customHeight="1">
      <c r="D66" s="109"/>
    </row>
    <row r="67" spans="2:4" ht="14.25" customHeight="1">
      <c r="D67" s="109"/>
    </row>
    <row r="68" spans="2:4" ht="14.25" customHeight="1">
      <c r="D68" s="109"/>
    </row>
    <row r="69" spans="2:4" ht="14.25" customHeight="1">
      <c r="D69" s="109"/>
    </row>
    <row r="70" spans="2:4" ht="14.25" customHeight="1">
      <c r="D70" s="109"/>
    </row>
    <row r="71" spans="2:4" ht="14.25" customHeight="1">
      <c r="D71" s="109"/>
    </row>
    <row r="72" spans="2:4" ht="14.25" customHeight="1">
      <c r="D72" s="109"/>
    </row>
    <row r="73" spans="2:4" ht="14.25" customHeight="1">
      <c r="D73" s="109"/>
    </row>
    <row r="74" spans="2:4" ht="14.25" customHeight="1">
      <c r="D74" s="109"/>
    </row>
    <row r="75" spans="2:4" ht="14.25" customHeight="1">
      <c r="D75" s="109"/>
    </row>
    <row r="76" spans="2:4" ht="14.25" customHeight="1">
      <c r="D76" s="109"/>
    </row>
    <row r="77" spans="2:4" ht="14.25" customHeight="1">
      <c r="D77" s="109"/>
    </row>
    <row r="78" spans="2:4" ht="14.25" customHeight="1">
      <c r="D78" s="109"/>
    </row>
    <row r="79" spans="2:4" ht="14.25" customHeight="1">
      <c r="D79" s="109"/>
    </row>
    <row r="80" spans="2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/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</sheetData>
  <pageMargins left="0.7" right="0.7" top="0.75" bottom="0.75" header="0" footer="0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A97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2" width="12" customWidth="1"/>
    <col min="3" max="3" width="16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484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485</v>
      </c>
      <c r="B2" s="203">
        <f>4754.69</f>
        <v>4754.6899999999996</v>
      </c>
      <c r="C2" s="15"/>
      <c r="D2" s="115" t="s">
        <v>486</v>
      </c>
      <c r="E2" s="116" t="s">
        <v>229</v>
      </c>
      <c r="F2" s="117">
        <v>20</v>
      </c>
      <c r="G2" s="118" t="s">
        <v>230</v>
      </c>
    </row>
    <row r="3" spans="1:7" ht="14.25" customHeight="1">
      <c r="A3" s="24" t="s">
        <v>487</v>
      </c>
      <c r="B3" s="203"/>
      <c r="C3" s="15"/>
      <c r="D3" s="115" t="s">
        <v>488</v>
      </c>
      <c r="E3" s="116" t="s">
        <v>417</v>
      </c>
      <c r="F3" s="120">
        <v>20</v>
      </c>
      <c r="G3" s="118" t="s">
        <v>230</v>
      </c>
    </row>
    <row r="4" spans="1:7" ht="14.25" customHeight="1">
      <c r="A4" s="24" t="s">
        <v>489</v>
      </c>
      <c r="B4" s="203">
        <f>3071.78</f>
        <v>3071.78</v>
      </c>
      <c r="C4" s="15"/>
      <c r="D4" s="160" t="s">
        <v>288</v>
      </c>
      <c r="E4" s="116" t="s">
        <v>233</v>
      </c>
      <c r="F4" s="117">
        <f>SUM(F2:F3)</f>
        <v>40</v>
      </c>
      <c r="G4" s="118"/>
    </row>
    <row r="5" spans="1:7" ht="14.25" customHeight="1">
      <c r="A5" s="24" t="s">
        <v>490</v>
      </c>
      <c r="B5" s="203">
        <v>2399.14</v>
      </c>
      <c r="C5" s="15"/>
      <c r="D5" s="119"/>
      <c r="E5" s="116"/>
      <c r="G5" s="118"/>
    </row>
    <row r="6" spans="1:7" ht="14.25" customHeight="1">
      <c r="B6" s="121"/>
      <c r="C6" s="122"/>
      <c r="D6" s="178"/>
      <c r="E6" s="124" t="s">
        <v>234</v>
      </c>
      <c r="F6" s="125">
        <v>10</v>
      </c>
      <c r="G6" s="126" t="s">
        <v>235</v>
      </c>
    </row>
    <row r="7" spans="1:7" ht="14.25" customHeight="1">
      <c r="A7" s="4" t="s">
        <v>378</v>
      </c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>
        <v>0</v>
      </c>
      <c r="C9" s="132"/>
      <c r="D9" s="131" t="s">
        <v>491</v>
      </c>
    </row>
    <row r="10" spans="1:7" ht="14.25" customHeight="1">
      <c r="A10" s="6" t="s">
        <v>239</v>
      </c>
      <c r="B10" s="7">
        <v>0</v>
      </c>
      <c r="C10" s="130"/>
      <c r="D10" s="131"/>
    </row>
    <row r="11" spans="1:7" ht="14.25" customHeight="1">
      <c r="A11" s="6" t="s">
        <v>241</v>
      </c>
      <c r="B11" s="7">
        <f>480+346.5</f>
        <v>826.5</v>
      </c>
      <c r="C11" s="130"/>
      <c r="D11" s="131" t="s">
        <v>242</v>
      </c>
    </row>
    <row r="12" spans="1:7" ht="14.25" customHeight="1">
      <c r="A12" s="6" t="s">
        <v>243</v>
      </c>
      <c r="B12" s="7">
        <v>0</v>
      </c>
      <c r="C12" s="130"/>
      <c r="D12" s="131"/>
    </row>
    <row r="13" spans="1:7" ht="14.25" customHeight="1">
      <c r="A13" s="6" t="s">
        <v>37</v>
      </c>
      <c r="B13" s="7">
        <v>0</v>
      </c>
      <c r="C13" s="132"/>
      <c r="D13" s="131"/>
    </row>
    <row r="14" spans="1:7" ht="14.25" customHeight="1">
      <c r="A14" s="6" t="s">
        <v>308</v>
      </c>
      <c r="B14" s="7">
        <v>2757</v>
      </c>
      <c r="C14" s="132">
        <v>2000</v>
      </c>
      <c r="D14" s="131"/>
    </row>
    <row r="15" spans="1:7" ht="14.25" customHeight="1">
      <c r="A15" s="6" t="s">
        <v>246</v>
      </c>
      <c r="B15" s="7">
        <v>11121.5</v>
      </c>
      <c r="C15" s="132"/>
      <c r="D15" s="131"/>
    </row>
    <row r="16" spans="1:7" ht="14.25" customHeight="1">
      <c r="A16" s="6" t="s">
        <v>248</v>
      </c>
      <c r="B16" s="134">
        <v>0</v>
      </c>
      <c r="C16" s="180">
        <v>7500</v>
      </c>
      <c r="D16" s="181" t="s">
        <v>338</v>
      </c>
    </row>
    <row r="17" spans="1:27" ht="14.25" customHeight="1">
      <c r="A17" s="6" t="s">
        <v>41</v>
      </c>
      <c r="B17" s="137">
        <f t="shared" ref="B17:C17" si="0">SUM(B9:B16)</f>
        <v>14705</v>
      </c>
      <c r="C17" s="137">
        <f t="shared" si="0"/>
        <v>9500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>
        <v>300</v>
      </c>
      <c r="D21" s="131" t="s">
        <v>383</v>
      </c>
    </row>
    <row r="22" spans="1:27" ht="14.25" customHeight="1">
      <c r="A22" s="6" t="s">
        <v>250</v>
      </c>
      <c r="B22" s="7">
        <v>0</v>
      </c>
      <c r="C22" s="130"/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/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1">SUM(B21:B25)</f>
        <v>0</v>
      </c>
      <c r="C26" s="137">
        <f t="shared" si="1"/>
        <v>300</v>
      </c>
      <c r="D26" s="138"/>
    </row>
    <row r="27" spans="1:27" ht="14.25" customHeight="1">
      <c r="A27" s="6" t="s">
        <v>81</v>
      </c>
      <c r="B27" s="7">
        <v>0</v>
      </c>
      <c r="C27" s="130"/>
      <c r="D27" s="131"/>
    </row>
    <row r="28" spans="1:27" ht="14.25" customHeight="1">
      <c r="A28" s="6" t="s">
        <v>86</v>
      </c>
      <c r="B28" s="7">
        <v>650.84</v>
      </c>
      <c r="C28" s="139">
        <v>1000</v>
      </c>
      <c r="D28" s="131" t="s">
        <v>492</v>
      </c>
    </row>
    <row r="29" spans="1:27" ht="14.25" customHeight="1">
      <c r="A29" s="6" t="s">
        <v>87</v>
      </c>
      <c r="B29" s="7">
        <v>0</v>
      </c>
      <c r="C29" s="139">
        <f>B29</f>
        <v>0</v>
      </c>
      <c r="D29" s="131"/>
    </row>
    <row r="30" spans="1:27" ht="14.25" customHeight="1">
      <c r="A30" s="167" t="s">
        <v>255</v>
      </c>
      <c r="B30" s="7">
        <v>286.35000000000002</v>
      </c>
      <c r="C30" s="139">
        <v>300</v>
      </c>
      <c r="D30" s="141" t="s">
        <v>493</v>
      </c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0</v>
      </c>
      <c r="C31" s="139">
        <f t="shared" ref="C31:C34" si="2">B31</f>
        <v>0</v>
      </c>
      <c r="D31" s="131"/>
    </row>
    <row r="32" spans="1:27" ht="14.25" customHeight="1">
      <c r="A32" s="6" t="s">
        <v>294</v>
      </c>
      <c r="B32" s="7">
        <v>0</v>
      </c>
      <c r="C32" s="139">
        <f t="shared" si="2"/>
        <v>0</v>
      </c>
      <c r="D32" s="131"/>
    </row>
    <row r="33" spans="1:4" ht="14.25" customHeight="1">
      <c r="A33" s="6" t="s">
        <v>92</v>
      </c>
      <c r="B33" s="7">
        <v>0</v>
      </c>
      <c r="C33" s="139">
        <f t="shared" si="2"/>
        <v>0</v>
      </c>
      <c r="D33" s="131"/>
    </row>
    <row r="34" spans="1:4" ht="14.25" customHeight="1">
      <c r="A34" s="6" t="s">
        <v>259</v>
      </c>
      <c r="B34" s="7">
        <v>0</v>
      </c>
      <c r="C34" s="139">
        <f t="shared" si="2"/>
        <v>0</v>
      </c>
      <c r="D34" s="131" t="s">
        <v>260</v>
      </c>
    </row>
    <row r="35" spans="1:4" ht="14.25" customHeight="1">
      <c r="A35" s="6" t="s">
        <v>261</v>
      </c>
      <c r="B35" s="7"/>
      <c r="C35" s="130">
        <f>35*F6</f>
        <v>350</v>
      </c>
      <c r="D35" s="131" t="s">
        <v>262</v>
      </c>
    </row>
    <row r="36" spans="1:4" ht="14.25" customHeight="1">
      <c r="A36" s="6" t="s">
        <v>263</v>
      </c>
      <c r="B36" s="7">
        <v>2345.54</v>
      </c>
      <c r="C36" s="130">
        <f>C64*2</f>
        <v>4748</v>
      </c>
      <c r="D36" s="204" t="s">
        <v>494</v>
      </c>
    </row>
    <row r="37" spans="1:4" ht="14.25" customHeight="1">
      <c r="A37" s="6" t="s">
        <v>265</v>
      </c>
      <c r="B37" s="7">
        <v>940.08</v>
      </c>
      <c r="C37" s="130">
        <v>1000</v>
      </c>
      <c r="D37" s="131"/>
    </row>
    <row r="38" spans="1:4" ht="14.25" customHeight="1">
      <c r="A38" s="6" t="s">
        <v>104</v>
      </c>
      <c r="B38" s="7">
        <v>0</v>
      </c>
      <c r="C38" s="130">
        <f t="shared" ref="C38:C39" si="3">B38</f>
        <v>0</v>
      </c>
      <c r="D38" s="131"/>
    </row>
    <row r="39" spans="1:4" ht="14.25" customHeight="1">
      <c r="A39" s="6" t="s">
        <v>105</v>
      </c>
      <c r="B39" s="7">
        <v>0</v>
      </c>
      <c r="C39" s="130">
        <f t="shared" si="3"/>
        <v>0</v>
      </c>
      <c r="D39" s="131"/>
    </row>
    <row r="40" spans="1:4" ht="14.25" customHeight="1">
      <c r="A40" s="6" t="s">
        <v>107</v>
      </c>
      <c r="B40" s="7">
        <v>1548</v>
      </c>
      <c r="C40" s="130">
        <v>1500</v>
      </c>
      <c r="D40" s="131" t="s">
        <v>495</v>
      </c>
    </row>
    <row r="41" spans="1:4" ht="14.25" customHeight="1">
      <c r="A41" s="6" t="s">
        <v>108</v>
      </c>
      <c r="B41" s="7">
        <v>3775</v>
      </c>
      <c r="C41" s="130">
        <v>5000</v>
      </c>
      <c r="D41" s="131"/>
    </row>
    <row r="42" spans="1:4" ht="14.25" customHeight="1">
      <c r="A42" s="6" t="s">
        <v>109</v>
      </c>
      <c r="B42" s="137">
        <f t="shared" ref="B42:C42" si="4">SUM(B27:B41)</f>
        <v>9545.8100000000013</v>
      </c>
      <c r="C42" s="137">
        <f t="shared" si="4"/>
        <v>13898</v>
      </c>
      <c r="D42" s="138"/>
    </row>
    <row r="43" spans="1:4" ht="14.25" customHeight="1">
      <c r="A43" s="6" t="s">
        <v>110</v>
      </c>
      <c r="B43" s="137">
        <f t="shared" ref="B43:C43" si="5">B42+B26</f>
        <v>9545.8100000000013</v>
      </c>
      <c r="C43" s="137">
        <f t="shared" si="5"/>
        <v>14198</v>
      </c>
      <c r="D43" s="138"/>
    </row>
    <row r="44" spans="1:4" ht="14.25" customHeight="1">
      <c r="A44" s="6"/>
      <c r="B44" s="137"/>
      <c r="C44" s="137"/>
      <c r="D44" s="138"/>
    </row>
    <row r="45" spans="1:4" ht="14.25" customHeight="1">
      <c r="A45" s="6" t="s">
        <v>270</v>
      </c>
      <c r="B45" s="7"/>
      <c r="C45" s="130"/>
      <c r="D45" s="131"/>
    </row>
    <row r="46" spans="1:4" ht="14.25" customHeight="1">
      <c r="A46" s="6" t="s">
        <v>271</v>
      </c>
      <c r="B46" s="7">
        <v>0</v>
      </c>
      <c r="C46" s="130"/>
    </row>
    <row r="47" spans="1:4" ht="14.25" customHeight="1">
      <c r="A47" s="6" t="s">
        <v>272</v>
      </c>
      <c r="B47" s="147">
        <v>0</v>
      </c>
      <c r="C47" s="130">
        <v>6000</v>
      </c>
      <c r="D47" s="131" t="s">
        <v>496</v>
      </c>
    </row>
    <row r="48" spans="1:4" ht="14.25" customHeight="1">
      <c r="A48" s="6" t="s">
        <v>116</v>
      </c>
      <c r="B48" s="137">
        <f>(B46)+(B47)+B45</f>
        <v>0</v>
      </c>
      <c r="C48" s="137">
        <f>(C46)+(C47)</f>
        <v>6000</v>
      </c>
      <c r="D48" s="138"/>
    </row>
    <row r="49" spans="1:4" ht="14.25" customHeight="1">
      <c r="A49" s="6" t="s">
        <v>273</v>
      </c>
      <c r="B49" s="7">
        <v>302.58999999999997</v>
      </c>
      <c r="C49" s="130">
        <f>B49</f>
        <v>302.58999999999997</v>
      </c>
      <c r="D49" s="131"/>
    </row>
    <row r="50" spans="1:4" ht="14.25" customHeight="1">
      <c r="A50" s="6" t="s">
        <v>274</v>
      </c>
      <c r="B50" s="7">
        <v>0</v>
      </c>
      <c r="C50" s="130"/>
      <c r="D50" s="131" t="s">
        <v>275</v>
      </c>
    </row>
    <row r="51" spans="1:4" ht="14.25" customHeight="1">
      <c r="A51" s="6" t="s">
        <v>276</v>
      </c>
      <c r="B51" s="147">
        <v>5595.45</v>
      </c>
      <c r="C51" s="130">
        <v>6000</v>
      </c>
      <c r="D51" s="131" t="s">
        <v>497</v>
      </c>
    </row>
    <row r="52" spans="1:4" ht="14.25" customHeight="1">
      <c r="A52" s="6" t="s">
        <v>277</v>
      </c>
      <c r="B52" s="137">
        <f>(B50)+(B51)+B49</f>
        <v>5898.04</v>
      </c>
      <c r="C52" s="137">
        <f>(C50)+(C51)</f>
        <v>6000</v>
      </c>
      <c r="D52" s="138"/>
    </row>
    <row r="53" spans="1:4" ht="14.25" customHeight="1">
      <c r="A53" s="6" t="s">
        <v>278</v>
      </c>
      <c r="B53" s="137">
        <f t="shared" ref="B53:C53" si="6">B48-B52</f>
        <v>-5898.04</v>
      </c>
      <c r="C53" s="137">
        <f t="shared" si="6"/>
        <v>0</v>
      </c>
      <c r="D53" s="138"/>
    </row>
    <row r="54" spans="1:4" ht="14.25" customHeight="1">
      <c r="A54" s="6" t="s">
        <v>279</v>
      </c>
      <c r="B54" s="137">
        <f t="shared" ref="B54:C54" si="7">B17-B43+B53</f>
        <v>-738.85000000000127</v>
      </c>
      <c r="C54" s="137">
        <f t="shared" si="7"/>
        <v>-4698</v>
      </c>
      <c r="D54" s="138"/>
    </row>
    <row r="55" spans="1:4" ht="14.25" customHeight="1">
      <c r="A55" s="6"/>
      <c r="B55" s="7"/>
      <c r="C55" s="130"/>
      <c r="D55" s="131"/>
    </row>
    <row r="56" spans="1:4" ht="14.25" customHeight="1">
      <c r="A56" s="24" t="s">
        <v>280</v>
      </c>
      <c r="B56" s="15"/>
      <c r="C56" s="148">
        <f>C36+C35-C64</f>
        <v>2724</v>
      </c>
      <c r="D56" s="149" t="s">
        <v>342</v>
      </c>
    </row>
    <row r="57" spans="1:4" ht="14.25" customHeight="1">
      <c r="A57" s="24" t="s">
        <v>343</v>
      </c>
      <c r="B57" s="15"/>
      <c r="C57" s="148">
        <f>C54+C56</f>
        <v>-1974</v>
      </c>
      <c r="D57" s="149"/>
    </row>
    <row r="58" spans="1:4" ht="14.25" customHeight="1">
      <c r="B58" s="15"/>
      <c r="C58" s="42"/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122"/>
      <c r="D61" s="149"/>
    </row>
    <row r="62" spans="1:4" ht="14.25" customHeight="1">
      <c r="A62" s="150" t="s">
        <v>283</v>
      </c>
      <c r="B62" s="151"/>
      <c r="C62" s="152"/>
      <c r="D62" s="153"/>
    </row>
    <row r="63" spans="1:4" ht="14.25" customHeight="1">
      <c r="A63" s="154" t="s">
        <v>229</v>
      </c>
      <c r="B63" s="17"/>
      <c r="C63" s="155">
        <v>2969</v>
      </c>
      <c r="D63" s="153"/>
    </row>
    <row r="64" spans="1:4" ht="14.25" customHeight="1">
      <c r="A64" s="156" t="s">
        <v>284</v>
      </c>
      <c r="B64" s="157"/>
      <c r="C64" s="158">
        <v>2374</v>
      </c>
      <c r="D64" s="153"/>
    </row>
    <row r="65" spans="2:4" ht="14.25" customHeight="1">
      <c r="B65" s="15"/>
      <c r="C65" s="40"/>
      <c r="D65" s="149"/>
    </row>
    <row r="66" spans="2:4" ht="14.25" customHeight="1">
      <c r="D66" s="109"/>
    </row>
    <row r="67" spans="2:4" ht="14.25" customHeight="1">
      <c r="D67" s="109"/>
    </row>
    <row r="68" spans="2:4" ht="14.25" customHeight="1">
      <c r="D68" s="109"/>
    </row>
    <row r="69" spans="2:4" ht="14.25" customHeight="1">
      <c r="D69" s="109"/>
    </row>
    <row r="70" spans="2:4" ht="14.25" customHeight="1">
      <c r="D70" s="109"/>
    </row>
    <row r="71" spans="2:4" ht="14.25" customHeight="1">
      <c r="D71" s="109"/>
    </row>
    <row r="72" spans="2:4" ht="14.25" customHeight="1">
      <c r="D72" s="109"/>
    </row>
    <row r="73" spans="2:4" ht="14.25" customHeight="1">
      <c r="D73" s="109"/>
    </row>
    <row r="74" spans="2:4" ht="14.25" customHeight="1">
      <c r="D74" s="109"/>
    </row>
    <row r="75" spans="2:4" ht="14.25" customHeight="1">
      <c r="D75" s="109"/>
    </row>
    <row r="76" spans="2:4" ht="14.25" customHeight="1">
      <c r="D76" s="109"/>
    </row>
    <row r="77" spans="2:4" ht="14.25" customHeight="1">
      <c r="D77" s="109"/>
    </row>
    <row r="78" spans="2:4" ht="14.25" customHeight="1">
      <c r="D78" s="109"/>
    </row>
    <row r="79" spans="2:4" ht="14.25" customHeight="1">
      <c r="D79" s="109"/>
    </row>
    <row r="80" spans="2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/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</sheetData>
  <pageMargins left="0.7" right="0.7" top="0.75" bottom="0.75" header="0" footer="0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A97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2" width="12" customWidth="1"/>
    <col min="3" max="3" width="16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498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499</v>
      </c>
      <c r="B2" s="203">
        <f>7586.55+54</f>
        <v>7640.55</v>
      </c>
      <c r="C2" s="15"/>
      <c r="D2" s="115" t="s">
        <v>500</v>
      </c>
      <c r="E2" s="116" t="s">
        <v>229</v>
      </c>
      <c r="F2" s="117">
        <v>15</v>
      </c>
      <c r="G2" s="118" t="s">
        <v>230</v>
      </c>
    </row>
    <row r="3" spans="1:7" ht="14.25" customHeight="1">
      <c r="A3" s="24" t="s">
        <v>487</v>
      </c>
      <c r="B3" s="203"/>
      <c r="C3" s="15"/>
      <c r="D3" s="115" t="s">
        <v>501</v>
      </c>
      <c r="E3" s="116" t="s">
        <v>417</v>
      </c>
      <c r="F3" s="120">
        <v>15</v>
      </c>
      <c r="G3" s="118" t="s">
        <v>230</v>
      </c>
    </row>
    <row r="4" spans="1:7" ht="14.25" customHeight="1">
      <c r="A4" s="24" t="s">
        <v>502</v>
      </c>
      <c r="B4" s="203">
        <v>7366.49</v>
      </c>
      <c r="C4" s="15"/>
      <c r="D4" s="160" t="s">
        <v>288</v>
      </c>
      <c r="E4" s="116" t="s">
        <v>233</v>
      </c>
      <c r="F4" s="117">
        <f>SUM(F2:F3)</f>
        <v>30</v>
      </c>
      <c r="G4" s="118"/>
    </row>
    <row r="5" spans="1:7" ht="14.25" customHeight="1">
      <c r="B5" s="203"/>
      <c r="C5" s="15"/>
      <c r="D5" s="115" t="s">
        <v>503</v>
      </c>
      <c r="E5" s="116"/>
      <c r="G5" s="118"/>
    </row>
    <row r="6" spans="1:7" ht="14.25" customHeight="1">
      <c r="A6" s="24" t="s">
        <v>378</v>
      </c>
      <c r="B6" s="121"/>
      <c r="C6" s="171"/>
      <c r="D6" s="162" t="s">
        <v>504</v>
      </c>
      <c r="E6" s="124" t="s">
        <v>234</v>
      </c>
      <c r="F6" s="125">
        <f>8</f>
        <v>8</v>
      </c>
      <c r="G6" s="126" t="s">
        <v>401</v>
      </c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>
        <v>3019.47</v>
      </c>
      <c r="C9" s="132">
        <f t="shared" ref="C9:C16" si="0">B9</f>
        <v>3019.47</v>
      </c>
      <c r="D9" s="131" t="s">
        <v>505</v>
      </c>
    </row>
    <row r="10" spans="1:7" ht="14.25" customHeight="1">
      <c r="A10" s="6" t="s">
        <v>239</v>
      </c>
      <c r="B10" s="7">
        <v>0</v>
      </c>
      <c r="C10" s="132">
        <f t="shared" si="0"/>
        <v>0</v>
      </c>
      <c r="D10" s="131"/>
    </row>
    <row r="11" spans="1:7" ht="14.25" customHeight="1">
      <c r="A11" s="6" t="s">
        <v>241</v>
      </c>
      <c r="B11" s="7">
        <v>54</v>
      </c>
      <c r="C11" s="132">
        <f t="shared" si="0"/>
        <v>54</v>
      </c>
      <c r="D11" s="131" t="s">
        <v>242</v>
      </c>
    </row>
    <row r="12" spans="1:7" ht="14.25" customHeight="1">
      <c r="A12" s="6" t="s">
        <v>243</v>
      </c>
      <c r="B12" s="7">
        <v>1946</v>
      </c>
      <c r="C12" s="132">
        <f t="shared" si="0"/>
        <v>1946</v>
      </c>
      <c r="D12" s="131"/>
    </row>
    <row r="13" spans="1:7" ht="14.25" customHeight="1">
      <c r="A13" s="6" t="s">
        <v>37</v>
      </c>
      <c r="B13" s="7">
        <v>0</v>
      </c>
      <c r="C13" s="132">
        <f t="shared" si="0"/>
        <v>0</v>
      </c>
      <c r="D13" s="131"/>
    </row>
    <row r="14" spans="1:7" ht="14.25" customHeight="1">
      <c r="A14" s="6" t="s">
        <v>308</v>
      </c>
      <c r="B14" s="7">
        <v>3928.4</v>
      </c>
      <c r="C14" s="132">
        <f t="shared" si="0"/>
        <v>3928.4</v>
      </c>
      <c r="D14" s="131"/>
    </row>
    <row r="15" spans="1:7" ht="14.25" customHeight="1">
      <c r="A15" s="6" t="s">
        <v>246</v>
      </c>
      <c r="B15" s="7">
        <v>0</v>
      </c>
      <c r="C15" s="132">
        <f t="shared" si="0"/>
        <v>0</v>
      </c>
      <c r="D15" s="131"/>
    </row>
    <row r="16" spans="1:7" ht="14.25" customHeight="1">
      <c r="A16" s="6" t="s">
        <v>248</v>
      </c>
      <c r="B16" s="134">
        <v>5090</v>
      </c>
      <c r="C16" s="132">
        <f t="shared" si="0"/>
        <v>5090</v>
      </c>
      <c r="D16" s="181" t="s">
        <v>506</v>
      </c>
    </row>
    <row r="17" spans="1:27" ht="14.25" customHeight="1">
      <c r="A17" s="6" t="s">
        <v>41</v>
      </c>
      <c r="B17" s="137">
        <f t="shared" ref="B17:C17" si="1">SUM(B9:B16)</f>
        <v>14037.869999999999</v>
      </c>
      <c r="C17" s="137">
        <f t="shared" si="1"/>
        <v>14037.869999999999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/>
      <c r="D21" s="131"/>
    </row>
    <row r="22" spans="1:27" ht="14.25" customHeight="1">
      <c r="A22" s="6" t="s">
        <v>250</v>
      </c>
      <c r="B22" s="7">
        <v>0</v>
      </c>
      <c r="C22" s="130"/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1246</v>
      </c>
      <c r="C24" s="130">
        <f t="shared" ref="C24:C25" si="2">B24</f>
        <v>1246</v>
      </c>
      <c r="D24" s="131" t="s">
        <v>507</v>
      </c>
    </row>
    <row r="25" spans="1:27" ht="14.25" customHeight="1">
      <c r="A25" s="6" t="s">
        <v>252</v>
      </c>
      <c r="B25" s="7">
        <v>1266</v>
      </c>
      <c r="C25" s="130">
        <f t="shared" si="2"/>
        <v>1266</v>
      </c>
      <c r="D25" s="131" t="s">
        <v>508</v>
      </c>
    </row>
    <row r="26" spans="1:27" ht="14.25" customHeight="1">
      <c r="A26" s="6" t="s">
        <v>253</v>
      </c>
      <c r="B26" s="137">
        <f t="shared" ref="B26:C26" si="3">SUM(B21:B25)</f>
        <v>2512</v>
      </c>
      <c r="C26" s="137">
        <f t="shared" si="3"/>
        <v>2512</v>
      </c>
      <c r="D26" s="138"/>
    </row>
    <row r="27" spans="1:27" ht="14.25" customHeight="1">
      <c r="A27" s="6" t="s">
        <v>81</v>
      </c>
      <c r="B27" s="7">
        <v>0</v>
      </c>
      <c r="C27" s="130"/>
      <c r="D27" s="131"/>
    </row>
    <row r="28" spans="1:27" ht="14.25" customHeight="1">
      <c r="A28" s="6" t="s">
        <v>86</v>
      </c>
      <c r="B28" s="7">
        <v>601.30999999999995</v>
      </c>
      <c r="C28" s="139">
        <f t="shared" ref="C28:C31" si="4">B28</f>
        <v>601.30999999999995</v>
      </c>
      <c r="D28" s="131"/>
    </row>
    <row r="29" spans="1:27" ht="14.25" customHeight="1">
      <c r="A29" s="6" t="s">
        <v>87</v>
      </c>
      <c r="B29" s="7">
        <v>0</v>
      </c>
      <c r="C29" s="139">
        <f t="shared" si="4"/>
        <v>0</v>
      </c>
      <c r="D29" s="131"/>
    </row>
    <row r="30" spans="1:27" ht="14.25" customHeight="1">
      <c r="A30" s="167" t="s">
        <v>255</v>
      </c>
      <c r="B30" s="7">
        <v>0</v>
      </c>
      <c r="C30" s="139">
        <f t="shared" si="4"/>
        <v>0</v>
      </c>
      <c r="D30" s="141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190.9</v>
      </c>
      <c r="C31" s="139">
        <f t="shared" si="4"/>
        <v>190.9</v>
      </c>
      <c r="D31" s="131"/>
    </row>
    <row r="32" spans="1:27" ht="14.25" customHeight="1">
      <c r="A32" s="6" t="s">
        <v>294</v>
      </c>
      <c r="B32" s="7">
        <v>0</v>
      </c>
      <c r="C32" s="139"/>
      <c r="D32" s="131"/>
    </row>
    <row r="33" spans="1:4" ht="14.25" customHeight="1">
      <c r="A33" s="6" t="s">
        <v>92</v>
      </c>
      <c r="B33" s="7">
        <v>0</v>
      </c>
      <c r="C33" s="130"/>
      <c r="D33" s="131"/>
    </row>
    <row r="34" spans="1:4" ht="14.25" customHeight="1">
      <c r="A34" s="6" t="s">
        <v>259</v>
      </c>
      <c r="B34" s="7">
        <v>0</v>
      </c>
      <c r="C34" s="130"/>
      <c r="D34" s="131" t="s">
        <v>260</v>
      </c>
    </row>
    <row r="35" spans="1:4" ht="14.25" customHeight="1">
      <c r="A35" s="6" t="s">
        <v>261</v>
      </c>
      <c r="B35" s="7"/>
      <c r="C35" s="130">
        <f>35*F6</f>
        <v>280</v>
      </c>
      <c r="D35" s="131" t="s">
        <v>262</v>
      </c>
    </row>
    <row r="36" spans="1:4" ht="14.25" customHeight="1">
      <c r="A36" s="6" t="s">
        <v>263</v>
      </c>
      <c r="B36" s="7">
        <v>2757.72</v>
      </c>
      <c r="C36" s="130">
        <f>2374</f>
        <v>2374</v>
      </c>
      <c r="D36" s="204" t="s">
        <v>509</v>
      </c>
    </row>
    <row r="37" spans="1:4" ht="14.25" customHeight="1">
      <c r="A37" s="6" t="s">
        <v>265</v>
      </c>
      <c r="B37" s="7">
        <v>255.64</v>
      </c>
      <c r="C37" s="130">
        <f t="shared" ref="C37:C41" si="5">B37</f>
        <v>255.64</v>
      </c>
      <c r="D37" s="131"/>
    </row>
    <row r="38" spans="1:4" ht="14.25" customHeight="1">
      <c r="A38" s="6" t="s">
        <v>104</v>
      </c>
      <c r="B38" s="7">
        <v>0</v>
      </c>
      <c r="C38" s="130">
        <f t="shared" si="5"/>
        <v>0</v>
      </c>
      <c r="D38" s="131"/>
    </row>
    <row r="39" spans="1:4" ht="14.25" customHeight="1">
      <c r="A39" s="6" t="s">
        <v>105</v>
      </c>
      <c r="B39" s="7">
        <v>0</v>
      </c>
      <c r="C39" s="130">
        <f t="shared" si="5"/>
        <v>0</v>
      </c>
      <c r="D39" s="131"/>
    </row>
    <row r="40" spans="1:4" ht="14.25" customHeight="1">
      <c r="A40" s="6" t="s">
        <v>107</v>
      </c>
      <c r="B40" s="7">
        <v>1481.42</v>
      </c>
      <c r="C40" s="130">
        <f t="shared" si="5"/>
        <v>1481.42</v>
      </c>
      <c r="D40" s="131"/>
    </row>
    <row r="41" spans="1:4" ht="14.25" customHeight="1">
      <c r="A41" s="6" t="s">
        <v>108</v>
      </c>
      <c r="B41" s="7">
        <v>2925</v>
      </c>
      <c r="C41" s="130">
        <f t="shared" si="5"/>
        <v>2925</v>
      </c>
      <c r="D41" s="131"/>
    </row>
    <row r="42" spans="1:4" ht="14.25" customHeight="1">
      <c r="A42" s="6" t="s">
        <v>109</v>
      </c>
      <c r="B42" s="137">
        <f t="shared" ref="B42:C42" si="6">SUM(B27:B41)</f>
        <v>8211.99</v>
      </c>
      <c r="C42" s="137">
        <f t="shared" si="6"/>
        <v>8108.27</v>
      </c>
      <c r="D42" s="138"/>
    </row>
    <row r="43" spans="1:4" ht="14.25" customHeight="1">
      <c r="A43" s="6" t="s">
        <v>110</v>
      </c>
      <c r="B43" s="137">
        <f t="shared" ref="B43:C43" si="7">B42+B26</f>
        <v>10723.99</v>
      </c>
      <c r="C43" s="137">
        <f t="shared" si="7"/>
        <v>10620.27</v>
      </c>
      <c r="D43" s="138"/>
    </row>
    <row r="44" spans="1:4" ht="14.25" customHeight="1">
      <c r="A44" s="6"/>
      <c r="B44" s="137"/>
      <c r="C44" s="137"/>
      <c r="D44" s="138"/>
    </row>
    <row r="45" spans="1:4" ht="14.25" customHeight="1">
      <c r="A45" s="6" t="s">
        <v>270</v>
      </c>
      <c r="B45" s="7"/>
      <c r="C45" s="130"/>
      <c r="D45" s="131"/>
    </row>
    <row r="46" spans="1:4" ht="14.25" customHeight="1">
      <c r="A46" s="6" t="s">
        <v>271</v>
      </c>
      <c r="B46" s="7">
        <v>0</v>
      </c>
      <c r="C46" s="130"/>
    </row>
    <row r="47" spans="1:4" ht="14.25" customHeight="1">
      <c r="A47" s="6" t="s">
        <v>272</v>
      </c>
      <c r="B47" s="147">
        <v>0</v>
      </c>
      <c r="C47" s="130"/>
      <c r="D47" s="131"/>
    </row>
    <row r="48" spans="1:4" ht="14.25" customHeight="1">
      <c r="A48" s="6" t="s">
        <v>116</v>
      </c>
      <c r="B48" s="137">
        <f>(B46)+(B47)+B45</f>
        <v>0</v>
      </c>
      <c r="C48" s="137">
        <f>(C46)+(C47)</f>
        <v>0</v>
      </c>
      <c r="D48" s="138"/>
    </row>
    <row r="49" spans="1:4" ht="14.25" customHeight="1">
      <c r="A49" s="6" t="s">
        <v>273</v>
      </c>
      <c r="B49" s="7"/>
      <c r="C49" s="130"/>
      <c r="D49" s="131"/>
    </row>
    <row r="50" spans="1:4" ht="14.25" customHeight="1">
      <c r="A50" s="6" t="s">
        <v>274</v>
      </c>
      <c r="B50" s="7">
        <v>168.11</v>
      </c>
      <c r="C50" s="130">
        <f>B50</f>
        <v>168.11</v>
      </c>
      <c r="D50" s="131" t="s">
        <v>275</v>
      </c>
    </row>
    <row r="51" spans="1:4" ht="14.25" customHeight="1">
      <c r="A51" s="6" t="s">
        <v>276</v>
      </c>
      <c r="B51" s="147">
        <v>0</v>
      </c>
      <c r="C51" s="130"/>
      <c r="D51" s="131"/>
    </row>
    <row r="52" spans="1:4" ht="14.25" customHeight="1">
      <c r="A52" s="6" t="s">
        <v>277</v>
      </c>
      <c r="B52" s="137">
        <f>(B50)+(B51)+B49</f>
        <v>168.11</v>
      </c>
      <c r="C52" s="137">
        <f>(C50)+(C51)</f>
        <v>168.11</v>
      </c>
      <c r="D52" s="138"/>
    </row>
    <row r="53" spans="1:4" ht="14.25" customHeight="1">
      <c r="A53" s="6" t="s">
        <v>278</v>
      </c>
      <c r="B53" s="137">
        <f t="shared" ref="B53:C53" si="8">B48-B52</f>
        <v>-168.11</v>
      </c>
      <c r="C53" s="137">
        <f t="shared" si="8"/>
        <v>-168.11</v>
      </c>
      <c r="D53" s="138"/>
    </row>
    <row r="54" spans="1:4" ht="14.25" customHeight="1">
      <c r="A54" s="6" t="s">
        <v>279</v>
      </c>
      <c r="B54" s="137">
        <f t="shared" ref="B54:C54" si="9">B17-B43+B53</f>
        <v>3145.7699999999991</v>
      </c>
      <c r="C54" s="137">
        <f t="shared" si="9"/>
        <v>3249.4899999999984</v>
      </c>
      <c r="D54" s="138"/>
    </row>
    <row r="55" spans="1:4" ht="14.25" customHeight="1">
      <c r="A55" s="6"/>
      <c r="B55" s="7"/>
      <c r="C55" s="130"/>
      <c r="D55" s="131"/>
    </row>
    <row r="56" spans="1:4" ht="14.25" customHeight="1">
      <c r="A56" s="24" t="s">
        <v>280</v>
      </c>
      <c r="B56" s="15"/>
      <c r="C56" s="148">
        <f>C36+C35</f>
        <v>2654</v>
      </c>
      <c r="D56" s="149" t="s">
        <v>510</v>
      </c>
    </row>
    <row r="57" spans="1:4" ht="14.25" customHeight="1">
      <c r="A57" s="24" t="s">
        <v>343</v>
      </c>
      <c r="B57" s="15"/>
      <c r="C57" s="148">
        <f>C54+C56</f>
        <v>5903.489999999998</v>
      </c>
      <c r="D57" s="149"/>
    </row>
    <row r="58" spans="1:4" ht="14.25" customHeight="1">
      <c r="B58" s="15"/>
      <c r="C58" s="42"/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122"/>
      <c r="D61" s="149"/>
    </row>
    <row r="62" spans="1:4" ht="14.25" customHeight="1">
      <c r="A62" s="150" t="s">
        <v>283</v>
      </c>
      <c r="B62" s="151"/>
      <c r="C62" s="152"/>
      <c r="D62" s="153"/>
    </row>
    <row r="63" spans="1:4" ht="14.25" customHeight="1">
      <c r="A63" s="154" t="s">
        <v>229</v>
      </c>
      <c r="B63" s="17"/>
      <c r="C63" s="155">
        <v>2969</v>
      </c>
      <c r="D63" s="153"/>
    </row>
    <row r="64" spans="1:4" ht="14.25" customHeight="1">
      <c r="A64" s="156" t="s">
        <v>284</v>
      </c>
      <c r="B64" s="157"/>
      <c r="C64" s="158">
        <v>2374</v>
      </c>
      <c r="D64" s="153"/>
    </row>
    <row r="65" spans="2:4" ht="14.25" customHeight="1">
      <c r="B65" s="15"/>
      <c r="C65" s="40"/>
      <c r="D65" s="149"/>
    </row>
    <row r="66" spans="2:4" ht="14.25" customHeight="1">
      <c r="D66" s="109"/>
    </row>
    <row r="67" spans="2:4" ht="14.25" customHeight="1">
      <c r="D67" s="109"/>
    </row>
    <row r="68" spans="2:4" ht="14.25" customHeight="1">
      <c r="D68" s="109"/>
    </row>
    <row r="69" spans="2:4" ht="14.25" customHeight="1">
      <c r="D69" s="109"/>
    </row>
    <row r="70" spans="2:4" ht="14.25" customHeight="1">
      <c r="D70" s="109"/>
    </row>
    <row r="71" spans="2:4" ht="14.25" customHeight="1">
      <c r="D71" s="109"/>
    </row>
    <row r="72" spans="2:4" ht="14.25" customHeight="1">
      <c r="D72" s="109"/>
    </row>
    <row r="73" spans="2:4" ht="14.25" customHeight="1">
      <c r="D73" s="109"/>
    </row>
    <row r="74" spans="2:4" ht="14.25" customHeight="1">
      <c r="D74" s="109"/>
    </row>
    <row r="75" spans="2:4" ht="14.25" customHeight="1">
      <c r="D75" s="109"/>
    </row>
    <row r="76" spans="2:4" ht="14.25" customHeight="1">
      <c r="D76" s="109"/>
    </row>
    <row r="77" spans="2:4" ht="14.25" customHeight="1">
      <c r="D77" s="109"/>
    </row>
    <row r="78" spans="2:4" ht="14.25" customHeight="1">
      <c r="D78" s="109"/>
    </row>
    <row r="79" spans="2:4" ht="14.25" customHeight="1">
      <c r="D79" s="109"/>
    </row>
    <row r="80" spans="2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/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A978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2" width="12" customWidth="1"/>
    <col min="3" max="3" width="16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200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203">
        <v>3550.71</v>
      </c>
      <c r="C2" s="15"/>
      <c r="D2" s="115" t="s">
        <v>511</v>
      </c>
      <c r="E2" s="116" t="s">
        <v>229</v>
      </c>
      <c r="F2" s="117">
        <v>22</v>
      </c>
      <c r="G2" s="118" t="s">
        <v>230</v>
      </c>
    </row>
    <row r="3" spans="1:7" ht="14.25" customHeight="1">
      <c r="B3" s="203"/>
      <c r="C3" s="15"/>
      <c r="D3" s="115" t="s">
        <v>512</v>
      </c>
      <c r="E3" s="116" t="s">
        <v>417</v>
      </c>
      <c r="F3" s="120">
        <v>0</v>
      </c>
      <c r="G3" s="118" t="s">
        <v>230</v>
      </c>
    </row>
    <row r="4" spans="1:7" ht="14.25" customHeight="1">
      <c r="B4" s="203"/>
      <c r="C4" s="15"/>
      <c r="D4" s="160" t="s">
        <v>288</v>
      </c>
      <c r="E4" s="116" t="s">
        <v>233</v>
      </c>
      <c r="F4" s="117">
        <f>SUM(F2:F3)</f>
        <v>22</v>
      </c>
      <c r="G4" s="118"/>
    </row>
    <row r="5" spans="1:7" ht="14.25" customHeight="1">
      <c r="B5" s="203"/>
      <c r="C5" s="15"/>
      <c r="D5" s="119"/>
      <c r="E5" s="116"/>
      <c r="G5" s="118"/>
    </row>
    <row r="6" spans="1:7" ht="14.25" customHeight="1">
      <c r="A6" s="24" t="s">
        <v>513</v>
      </c>
      <c r="B6" s="121"/>
      <c r="C6" s="122"/>
      <c r="D6" s="178"/>
      <c r="E6" s="124" t="s">
        <v>234</v>
      </c>
      <c r="F6" s="125">
        <f>6</f>
        <v>6</v>
      </c>
      <c r="G6" s="126" t="s">
        <v>235</v>
      </c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>
        <v>82</v>
      </c>
      <c r="C9" s="132">
        <f>B9</f>
        <v>82</v>
      </c>
      <c r="D9" s="131" t="s">
        <v>514</v>
      </c>
    </row>
    <row r="10" spans="1:7" ht="14.25" customHeight="1">
      <c r="A10" s="6" t="s">
        <v>239</v>
      </c>
      <c r="B10" s="7">
        <v>0</v>
      </c>
      <c r="C10" s="130"/>
      <c r="D10" s="131"/>
    </row>
    <row r="11" spans="1:7" ht="14.25" customHeight="1">
      <c r="A11" s="6" t="s">
        <v>241</v>
      </c>
      <c r="B11" s="7">
        <v>0</v>
      </c>
      <c r="C11" s="130"/>
      <c r="D11" s="131" t="s">
        <v>242</v>
      </c>
    </row>
    <row r="12" spans="1:7" ht="14.25" customHeight="1">
      <c r="A12" s="6" t="s">
        <v>243</v>
      </c>
      <c r="B12" s="7">
        <v>0</v>
      </c>
      <c r="C12" s="130"/>
      <c r="D12" s="131"/>
    </row>
    <row r="13" spans="1:7" ht="14.25" customHeight="1">
      <c r="A13" s="6" t="s">
        <v>37</v>
      </c>
      <c r="B13" s="7">
        <v>0</v>
      </c>
      <c r="C13" s="132"/>
      <c r="D13" s="131"/>
    </row>
    <row r="14" spans="1:7" ht="14.25" customHeight="1">
      <c r="A14" s="6" t="s">
        <v>308</v>
      </c>
      <c r="B14" s="7">
        <v>0</v>
      </c>
      <c r="C14" s="132"/>
      <c r="D14" s="131"/>
    </row>
    <row r="15" spans="1:7" ht="14.25" customHeight="1">
      <c r="A15" s="6" t="s">
        <v>246</v>
      </c>
      <c r="B15" s="7">
        <f>189+5877.6</f>
        <v>6066.6</v>
      </c>
      <c r="C15" s="132">
        <f t="shared" ref="C15:C16" si="0">B15</f>
        <v>6066.6</v>
      </c>
      <c r="D15" s="131"/>
    </row>
    <row r="16" spans="1:7" ht="14.25" customHeight="1">
      <c r="A16" s="6" t="s">
        <v>248</v>
      </c>
      <c r="B16" s="8">
        <v>248</v>
      </c>
      <c r="C16" s="180">
        <f t="shared" si="0"/>
        <v>248</v>
      </c>
      <c r="D16" s="181" t="s">
        <v>515</v>
      </c>
    </row>
    <row r="17" spans="1:27" ht="14.25" customHeight="1">
      <c r="A17" s="6" t="s">
        <v>41</v>
      </c>
      <c r="B17" s="137">
        <f>SUM(B9:B16)</f>
        <v>6396.6</v>
      </c>
      <c r="C17" s="137">
        <f>SUM(C9:C15)</f>
        <v>6148.6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>
        <v>200</v>
      </c>
      <c r="D21" s="131" t="s">
        <v>516</v>
      </c>
    </row>
    <row r="22" spans="1:27" ht="14.25" customHeight="1">
      <c r="A22" s="6" t="s">
        <v>250</v>
      </c>
      <c r="B22" s="7">
        <v>0</v>
      </c>
      <c r="C22" s="130"/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 t="s">
        <v>517</v>
      </c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1">SUM(B21:B25)</f>
        <v>0</v>
      </c>
      <c r="C26" s="137">
        <f t="shared" si="1"/>
        <v>200</v>
      </c>
      <c r="D26" s="138"/>
    </row>
    <row r="27" spans="1:27" ht="14.25" customHeight="1">
      <c r="A27" s="6" t="s">
        <v>81</v>
      </c>
      <c r="B27" s="7">
        <v>0</v>
      </c>
      <c r="C27" s="130"/>
      <c r="D27" s="131"/>
    </row>
    <row r="28" spans="1:27" ht="14.25" customHeight="1">
      <c r="A28" s="6" t="s">
        <v>86</v>
      </c>
      <c r="B28" s="7">
        <v>239.3</v>
      </c>
      <c r="C28" s="139">
        <v>250</v>
      </c>
      <c r="D28" s="131" t="s">
        <v>516</v>
      </c>
    </row>
    <row r="29" spans="1:27" ht="14.25" customHeight="1">
      <c r="A29" s="6" t="s">
        <v>87</v>
      </c>
      <c r="B29" s="7">
        <v>0</v>
      </c>
      <c r="C29" s="130"/>
      <c r="D29" s="131"/>
    </row>
    <row r="30" spans="1:27" ht="14.25" customHeight="1">
      <c r="A30" s="167" t="s">
        <v>255</v>
      </c>
      <c r="B30" s="7">
        <v>0</v>
      </c>
      <c r="C30" s="34">
        <v>100</v>
      </c>
      <c r="D30" s="141" t="s">
        <v>516</v>
      </c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0</v>
      </c>
      <c r="C31" s="130"/>
      <c r="D31" s="131"/>
    </row>
    <row r="32" spans="1:27" ht="14.25" customHeight="1">
      <c r="A32" s="6" t="s">
        <v>294</v>
      </c>
      <c r="B32" s="7">
        <v>0</v>
      </c>
      <c r="C32" s="139"/>
      <c r="D32" s="131"/>
    </row>
    <row r="33" spans="1:5" ht="14.25" customHeight="1">
      <c r="A33" s="6" t="s">
        <v>92</v>
      </c>
      <c r="B33" s="7">
        <v>0</v>
      </c>
      <c r="C33" s="130"/>
      <c r="D33" s="131"/>
    </row>
    <row r="34" spans="1:5" ht="14.25" customHeight="1">
      <c r="A34" s="6" t="s">
        <v>259</v>
      </c>
      <c r="B34" s="7">
        <v>0</v>
      </c>
      <c r="C34" s="130"/>
      <c r="D34" s="131" t="s">
        <v>260</v>
      </c>
    </row>
    <row r="35" spans="1:5" ht="14.25" customHeight="1">
      <c r="A35" s="6" t="s">
        <v>404</v>
      </c>
      <c r="B35" s="7"/>
      <c r="C35" s="130">
        <f>35*F6</f>
        <v>210</v>
      </c>
      <c r="D35" s="131" t="s">
        <v>262</v>
      </c>
    </row>
    <row r="36" spans="1:5" ht="14.25" customHeight="1">
      <c r="A36" s="6" t="s">
        <v>263</v>
      </c>
      <c r="B36" s="7">
        <v>0</v>
      </c>
      <c r="C36" s="130">
        <f>C65</f>
        <v>2374</v>
      </c>
      <c r="D36" s="198" t="s">
        <v>518</v>
      </c>
    </row>
    <row r="37" spans="1:5" ht="14.25" customHeight="1">
      <c r="A37" s="6" t="s">
        <v>296</v>
      </c>
      <c r="B37" s="7"/>
      <c r="C37" s="130">
        <v>5000</v>
      </c>
      <c r="D37" s="174" t="s">
        <v>519</v>
      </c>
    </row>
    <row r="38" spans="1:5" ht="14.25" customHeight="1">
      <c r="A38" s="6" t="s">
        <v>265</v>
      </c>
      <c r="B38" s="7">
        <v>317.37</v>
      </c>
      <c r="C38" s="130">
        <v>325</v>
      </c>
      <c r="D38" s="131" t="s">
        <v>516</v>
      </c>
    </row>
    <row r="39" spans="1:5" ht="14.25" customHeight="1">
      <c r="A39" s="6" t="s">
        <v>104</v>
      </c>
      <c r="B39" s="7">
        <v>0</v>
      </c>
      <c r="C39" s="130"/>
      <c r="D39" s="131" t="s">
        <v>520</v>
      </c>
    </row>
    <row r="40" spans="1:5" ht="14.25" customHeight="1">
      <c r="A40" s="6" t="s">
        <v>105</v>
      </c>
      <c r="B40" s="7">
        <v>0</v>
      </c>
      <c r="C40" s="130"/>
      <c r="D40" s="131" t="s">
        <v>520</v>
      </c>
    </row>
    <row r="41" spans="1:5" ht="14.25" customHeight="1">
      <c r="A41" s="6" t="s">
        <v>107</v>
      </c>
      <c r="B41" s="7">
        <v>7896.26</v>
      </c>
      <c r="C41" s="130">
        <v>2000</v>
      </c>
      <c r="D41" s="131" t="s">
        <v>516</v>
      </c>
      <c r="E41" s="24" t="s">
        <v>521</v>
      </c>
    </row>
    <row r="42" spans="1:5" ht="14.25" customHeight="1">
      <c r="A42" s="6" t="s">
        <v>108</v>
      </c>
      <c r="B42" s="7">
        <v>2820</v>
      </c>
      <c r="C42" s="130">
        <v>2820</v>
      </c>
      <c r="D42" s="131" t="s">
        <v>516</v>
      </c>
    </row>
    <row r="43" spans="1:5" ht="14.25" customHeight="1">
      <c r="A43" s="6" t="s">
        <v>109</v>
      </c>
      <c r="B43" s="137">
        <f t="shared" ref="B43:C43" si="2">SUM(B27:B42)</f>
        <v>11272.93</v>
      </c>
      <c r="C43" s="137">
        <f t="shared" si="2"/>
        <v>13079</v>
      </c>
      <c r="D43" s="138"/>
    </row>
    <row r="44" spans="1:5" ht="14.25" customHeight="1">
      <c r="A44" s="6" t="s">
        <v>110</v>
      </c>
      <c r="B44" s="137">
        <f t="shared" ref="B44:C44" si="3">B43+B26</f>
        <v>11272.93</v>
      </c>
      <c r="C44" s="137">
        <f t="shared" si="3"/>
        <v>13279</v>
      </c>
      <c r="D44" s="138"/>
    </row>
    <row r="45" spans="1:5" ht="14.25" customHeight="1">
      <c r="A45" s="6"/>
      <c r="B45" s="137"/>
      <c r="C45" s="137"/>
      <c r="D45" s="138"/>
    </row>
    <row r="46" spans="1:5" ht="14.25" customHeight="1">
      <c r="A46" s="6" t="s">
        <v>270</v>
      </c>
      <c r="B46" s="7"/>
      <c r="C46" s="130"/>
      <c r="D46" s="131"/>
    </row>
    <row r="47" spans="1:5" ht="14.25" customHeight="1">
      <c r="A47" s="6" t="s">
        <v>271</v>
      </c>
      <c r="B47" s="7">
        <v>0</v>
      </c>
      <c r="C47" s="130"/>
    </row>
    <row r="48" spans="1:5" ht="14.25" customHeight="1">
      <c r="A48" s="6" t="s">
        <v>272</v>
      </c>
      <c r="B48" s="147">
        <v>0</v>
      </c>
      <c r="C48" s="130"/>
      <c r="D48" s="131"/>
    </row>
    <row r="49" spans="1:4" ht="14.25" customHeight="1">
      <c r="A49" s="6" t="s">
        <v>116</v>
      </c>
      <c r="B49" s="137">
        <f>(B47)+(B48)+B46</f>
        <v>0</v>
      </c>
      <c r="C49" s="137">
        <f>(C47)+(C48)</f>
        <v>0</v>
      </c>
      <c r="D49" s="138"/>
    </row>
    <row r="50" spans="1:4" ht="14.25" customHeight="1">
      <c r="A50" s="6" t="s">
        <v>273</v>
      </c>
      <c r="B50" s="7"/>
      <c r="C50" s="130"/>
      <c r="D50" s="131"/>
    </row>
    <row r="51" spans="1:4" ht="14.25" customHeight="1">
      <c r="A51" s="6" t="s">
        <v>274</v>
      </c>
      <c r="B51" s="7">
        <v>567.95000000000005</v>
      </c>
      <c r="C51" s="130"/>
      <c r="D51" s="131" t="s">
        <v>275</v>
      </c>
    </row>
    <row r="52" spans="1:4" ht="14.25" customHeight="1">
      <c r="A52" s="6" t="s">
        <v>276</v>
      </c>
      <c r="B52" s="147">
        <v>0</v>
      </c>
      <c r="C52" s="130"/>
      <c r="D52" s="131"/>
    </row>
    <row r="53" spans="1:4" ht="14.25" customHeight="1">
      <c r="A53" s="6" t="s">
        <v>277</v>
      </c>
      <c r="B53" s="137">
        <f>(B51)+(B52)+B50</f>
        <v>567.95000000000005</v>
      </c>
      <c r="C53" s="137">
        <f>(C51)+(C52)</f>
        <v>0</v>
      </c>
      <c r="D53" s="138"/>
    </row>
    <row r="54" spans="1:4" ht="14.25" customHeight="1">
      <c r="A54" s="6" t="s">
        <v>278</v>
      </c>
      <c r="B54" s="137">
        <f t="shared" ref="B54:C54" si="4">B49-B53</f>
        <v>-567.95000000000005</v>
      </c>
      <c r="C54" s="137">
        <f t="shared" si="4"/>
        <v>0</v>
      </c>
      <c r="D54" s="138"/>
    </row>
    <row r="55" spans="1:4" ht="14.25" customHeight="1">
      <c r="A55" s="6" t="s">
        <v>279</v>
      </c>
      <c r="B55" s="137">
        <f t="shared" ref="B55:C55" si="5">B17-B44+B54</f>
        <v>-5444.28</v>
      </c>
      <c r="C55" s="137">
        <f t="shared" si="5"/>
        <v>-7130.4</v>
      </c>
      <c r="D55" s="138"/>
    </row>
    <row r="56" spans="1:4" ht="14.25" customHeight="1">
      <c r="A56" s="6"/>
      <c r="B56" s="7"/>
      <c r="C56" s="130"/>
      <c r="D56" s="131"/>
    </row>
    <row r="57" spans="1:4" ht="14.25" customHeight="1">
      <c r="A57" s="24" t="s">
        <v>280</v>
      </c>
      <c r="B57" s="15"/>
      <c r="C57" s="148">
        <f>C36+C41+C35</f>
        <v>4584</v>
      </c>
      <c r="D57" s="149" t="s">
        <v>522</v>
      </c>
    </row>
    <row r="58" spans="1:4" ht="14.25" customHeight="1">
      <c r="A58" s="24" t="s">
        <v>343</v>
      </c>
      <c r="B58" s="15"/>
      <c r="C58" s="148">
        <f>-C55-C57</f>
        <v>2546.3999999999996</v>
      </c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42"/>
      <c r="D61" s="149"/>
    </row>
    <row r="62" spans="1:4" ht="14.25" customHeight="1">
      <c r="B62" s="15"/>
      <c r="C62" s="122"/>
      <c r="D62" s="149"/>
    </row>
    <row r="63" spans="1:4" ht="14.25" customHeight="1">
      <c r="A63" s="150" t="s">
        <v>283</v>
      </c>
      <c r="B63" s="151"/>
      <c r="C63" s="152"/>
      <c r="D63" s="153"/>
    </row>
    <row r="64" spans="1:4" ht="14.25" customHeight="1">
      <c r="A64" s="154" t="s">
        <v>229</v>
      </c>
      <c r="B64" s="17"/>
      <c r="C64" s="155">
        <v>2969</v>
      </c>
      <c r="D64" s="153"/>
    </row>
    <row r="65" spans="1:4" ht="14.25" customHeight="1">
      <c r="A65" s="154" t="s">
        <v>284</v>
      </c>
      <c r="B65" s="17"/>
      <c r="C65" s="155">
        <v>2374</v>
      </c>
      <c r="D65" s="153"/>
    </row>
    <row r="66" spans="1:4" ht="14.25" customHeight="1">
      <c r="A66" s="124"/>
      <c r="B66" s="184"/>
      <c r="C66" s="185"/>
      <c r="D66" s="153"/>
    </row>
    <row r="67" spans="1:4" ht="14.25" customHeight="1">
      <c r="D67" s="109"/>
    </row>
    <row r="68" spans="1:4" ht="14.25" customHeight="1">
      <c r="D68" s="109"/>
    </row>
    <row r="69" spans="1:4" ht="14.25" customHeight="1">
      <c r="D69" s="109"/>
    </row>
    <row r="70" spans="1:4" ht="14.25" customHeight="1">
      <c r="D70" s="109"/>
    </row>
    <row r="71" spans="1:4" ht="14.25" customHeight="1">
      <c r="D71" s="109"/>
    </row>
    <row r="72" spans="1:4" ht="14.25" customHeight="1">
      <c r="D72" s="109"/>
    </row>
    <row r="73" spans="1:4" ht="14.25" customHeight="1">
      <c r="D73" s="109"/>
    </row>
    <row r="74" spans="1:4" ht="14.25" customHeight="1">
      <c r="D74" s="109"/>
    </row>
    <row r="75" spans="1:4" ht="14.25" customHeight="1">
      <c r="D75" s="109"/>
    </row>
    <row r="76" spans="1:4" ht="14.25" customHeight="1">
      <c r="D76" s="109"/>
    </row>
    <row r="77" spans="1:4" ht="14.25" customHeight="1">
      <c r="D77" s="109"/>
    </row>
    <row r="78" spans="1:4" ht="14.25" customHeight="1">
      <c r="D78" s="109"/>
    </row>
    <row r="79" spans="1:4" ht="14.25" customHeight="1">
      <c r="D79" s="109"/>
    </row>
    <row r="80" spans="1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>
      <c r="D967" s="109"/>
    </row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  <row r="978" ht="14.25" customHeight="1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76"/>
  <sheetViews>
    <sheetView workbookViewId="0">
      <pane ySplit="8" topLeftCell="A9" activePane="bottomLeft" state="frozen"/>
      <selection pane="bottomLeft" activeCell="B10" sqref="B10"/>
    </sheetView>
  </sheetViews>
  <sheetFormatPr defaultColWidth="14.42578125" defaultRowHeight="15" customHeight="1"/>
  <cols>
    <col min="1" max="1" width="40.7109375" customWidth="1"/>
    <col min="2" max="2" width="12" customWidth="1"/>
    <col min="3" max="3" width="16" customWidth="1"/>
    <col min="4" max="4" width="56.710937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B1" s="108"/>
      <c r="C1" s="15"/>
      <c r="D1" s="109"/>
    </row>
    <row r="2" spans="1:7" ht="14.25" customHeight="1">
      <c r="A2" s="110" t="s">
        <v>166</v>
      </c>
      <c r="B2" s="108"/>
      <c r="C2" s="15"/>
      <c r="D2" s="111" t="s">
        <v>225</v>
      </c>
      <c r="E2" s="112" t="s">
        <v>226</v>
      </c>
      <c r="F2" s="113"/>
      <c r="G2" s="86"/>
    </row>
    <row r="3" spans="1:7" ht="14.25" customHeight="1">
      <c r="A3" s="24" t="s">
        <v>227</v>
      </c>
      <c r="B3" s="114">
        <v>27015.68</v>
      </c>
      <c r="C3" s="15"/>
      <c r="D3" s="115" t="s">
        <v>228</v>
      </c>
      <c r="E3" s="116" t="s">
        <v>229</v>
      </c>
      <c r="F3" s="117">
        <v>20</v>
      </c>
      <c r="G3" s="118" t="s">
        <v>230</v>
      </c>
    </row>
    <row r="4" spans="1:7" ht="14.25" customHeight="1">
      <c r="B4" s="108"/>
      <c r="C4" s="15"/>
      <c r="D4" s="119" t="s">
        <v>231</v>
      </c>
      <c r="E4" s="116" t="s">
        <v>232</v>
      </c>
      <c r="F4" s="120">
        <v>40</v>
      </c>
      <c r="G4" s="118" t="s">
        <v>230</v>
      </c>
    </row>
    <row r="5" spans="1:7" ht="14.25" customHeight="1">
      <c r="B5" s="108"/>
      <c r="C5" s="15"/>
      <c r="D5" s="109"/>
      <c r="E5" s="116" t="s">
        <v>233</v>
      </c>
      <c r="F5" s="117">
        <f>F3+F4</f>
        <v>60</v>
      </c>
      <c r="G5" s="118"/>
    </row>
    <row r="6" spans="1:7" ht="14.25" customHeight="1">
      <c r="B6" s="108"/>
      <c r="C6" s="15"/>
      <c r="D6" s="109"/>
      <c r="E6" s="116"/>
      <c r="G6" s="118"/>
    </row>
    <row r="7" spans="1:7" ht="14.25" customHeight="1">
      <c r="B7" s="121"/>
      <c r="C7" s="122"/>
      <c r="D7" s="123"/>
      <c r="E7" s="124" t="s">
        <v>234</v>
      </c>
      <c r="F7" s="125">
        <v>10</v>
      </c>
      <c r="G7" s="126" t="s">
        <v>235</v>
      </c>
    </row>
    <row r="8" spans="1:7" ht="14.25" customHeight="1">
      <c r="A8" s="4"/>
      <c r="B8" s="127" t="s">
        <v>236</v>
      </c>
      <c r="C8" s="128" t="s">
        <v>237</v>
      </c>
      <c r="D8" s="129" t="s">
        <v>5</v>
      </c>
    </row>
    <row r="9" spans="1:7" ht="14.25" customHeight="1">
      <c r="A9" s="6" t="s">
        <v>6</v>
      </c>
      <c r="B9" s="7"/>
      <c r="C9" s="130"/>
      <c r="D9" s="131"/>
    </row>
    <row r="10" spans="1:7" ht="14.25" customHeight="1">
      <c r="A10" s="6" t="s">
        <v>7</v>
      </c>
      <c r="B10" s="7">
        <v>573.97</v>
      </c>
      <c r="C10" s="132">
        <v>10000</v>
      </c>
      <c r="D10" s="131" t="s">
        <v>238</v>
      </c>
    </row>
    <row r="11" spans="1:7" ht="14.25" customHeight="1">
      <c r="A11" s="6" t="s">
        <v>239</v>
      </c>
      <c r="B11" s="7">
        <v>0</v>
      </c>
      <c r="C11" s="130">
        <v>18000</v>
      </c>
      <c r="D11" s="131" t="s">
        <v>240</v>
      </c>
    </row>
    <row r="12" spans="1:7" ht="14.25" customHeight="1">
      <c r="A12" s="6" t="s">
        <v>241</v>
      </c>
      <c r="B12" s="7">
        <v>405</v>
      </c>
      <c r="C12" s="130"/>
      <c r="D12" s="131" t="s">
        <v>242</v>
      </c>
      <c r="F12" s="133"/>
    </row>
    <row r="13" spans="1:7" ht="14.25" customHeight="1">
      <c r="A13" s="6" t="s">
        <v>243</v>
      </c>
      <c r="B13" s="7">
        <v>0</v>
      </c>
      <c r="C13" s="130">
        <v>0</v>
      </c>
      <c r="D13" s="131"/>
    </row>
    <row r="14" spans="1:7" ht="14.25" customHeight="1">
      <c r="A14" s="6" t="s">
        <v>244</v>
      </c>
      <c r="B14" s="7"/>
      <c r="C14" s="132"/>
      <c r="D14" s="131" t="s">
        <v>245</v>
      </c>
    </row>
    <row r="15" spans="1:7" ht="14.25" customHeight="1">
      <c r="A15" s="6" t="s">
        <v>246</v>
      </c>
      <c r="B15" s="7">
        <v>17825.599999999999</v>
      </c>
      <c r="C15" s="132">
        <v>18000</v>
      </c>
      <c r="D15" s="131" t="s">
        <v>247</v>
      </c>
    </row>
    <row r="16" spans="1:7" ht="14.25" customHeight="1">
      <c r="A16" s="6" t="s">
        <v>248</v>
      </c>
      <c r="B16" s="134"/>
      <c r="C16" s="135"/>
      <c r="D16" s="136"/>
    </row>
    <row r="17" spans="1:4" ht="14.25" customHeight="1">
      <c r="A17" s="6" t="s">
        <v>41</v>
      </c>
      <c r="B17" s="137">
        <f>SUM(B10:B15)</f>
        <v>18804.57</v>
      </c>
      <c r="C17" s="137">
        <f>SUM(C10:C16)</f>
        <v>46000</v>
      </c>
      <c r="D17" s="138"/>
    </row>
    <row r="18" spans="1:4" ht="14.25" customHeight="1">
      <c r="A18" s="6"/>
      <c r="B18" s="137"/>
      <c r="C18" s="137"/>
      <c r="D18" s="138"/>
    </row>
    <row r="19" spans="1:4" ht="14.25" customHeight="1">
      <c r="A19" s="6" t="s">
        <v>43</v>
      </c>
      <c r="B19" s="7"/>
      <c r="C19" s="130"/>
      <c r="D19" s="131"/>
    </row>
    <row r="20" spans="1:4" ht="14.25" customHeight="1">
      <c r="A20" s="6" t="s">
        <v>70</v>
      </c>
      <c r="B20" s="7"/>
      <c r="C20" s="130"/>
      <c r="D20" s="131"/>
    </row>
    <row r="21" spans="1:4" ht="14.25" customHeight="1">
      <c r="A21" s="6" t="s">
        <v>249</v>
      </c>
      <c r="B21" s="7">
        <v>0</v>
      </c>
      <c r="C21" s="130">
        <v>6000</v>
      </c>
      <c r="D21" s="131"/>
    </row>
    <row r="22" spans="1:4" ht="14.25" customHeight="1">
      <c r="A22" s="6" t="s">
        <v>250</v>
      </c>
      <c r="B22" s="7">
        <v>0</v>
      </c>
      <c r="C22" s="130">
        <v>300</v>
      </c>
      <c r="D22" s="131"/>
    </row>
    <row r="23" spans="1:4" ht="14.25" customHeight="1">
      <c r="A23" s="6" t="s">
        <v>251</v>
      </c>
      <c r="B23" s="7">
        <v>0</v>
      </c>
      <c r="C23" s="130"/>
      <c r="D23" s="131"/>
    </row>
    <row r="24" spans="1:4" ht="14.25" customHeight="1">
      <c r="A24" s="6" t="s">
        <v>252</v>
      </c>
      <c r="B24" s="7">
        <v>0</v>
      </c>
      <c r="C24" s="130"/>
      <c r="D24" s="131"/>
    </row>
    <row r="25" spans="1:4" ht="14.25" customHeight="1">
      <c r="A25" s="6" t="s">
        <v>253</v>
      </c>
      <c r="B25" s="137">
        <f t="shared" ref="B25:C25" si="0">SUM(B21:B24)</f>
        <v>0</v>
      </c>
      <c r="C25" s="137">
        <f t="shared" si="0"/>
        <v>6300</v>
      </c>
      <c r="D25" s="138"/>
    </row>
    <row r="26" spans="1:4" ht="14.25" customHeight="1">
      <c r="A26" s="6" t="s">
        <v>81</v>
      </c>
      <c r="B26" s="7"/>
      <c r="C26" s="130"/>
      <c r="D26" s="131"/>
    </row>
    <row r="27" spans="1:4" ht="14.25" customHeight="1">
      <c r="A27" s="6" t="s">
        <v>86</v>
      </c>
      <c r="B27" s="8">
        <v>159.85</v>
      </c>
      <c r="C27" s="139"/>
      <c r="D27" s="131"/>
    </row>
    <row r="28" spans="1:4" ht="14.25" customHeight="1">
      <c r="A28" s="6" t="s">
        <v>87</v>
      </c>
      <c r="B28" s="7">
        <v>4018.31</v>
      </c>
      <c r="C28" s="140">
        <v>10000</v>
      </c>
      <c r="D28" s="141" t="s">
        <v>254</v>
      </c>
    </row>
    <row r="29" spans="1:4" ht="14.25" customHeight="1">
      <c r="A29" s="6" t="s">
        <v>255</v>
      </c>
      <c r="B29" s="7">
        <v>0</v>
      </c>
      <c r="C29" s="140">
        <v>1500</v>
      </c>
      <c r="D29" s="141" t="s">
        <v>256</v>
      </c>
    </row>
    <row r="30" spans="1:4" ht="14.25" customHeight="1">
      <c r="A30" s="6" t="s">
        <v>88</v>
      </c>
      <c r="B30" s="7">
        <v>0</v>
      </c>
      <c r="C30" s="140">
        <v>0</v>
      </c>
      <c r="D30" s="142"/>
    </row>
    <row r="31" spans="1:4" ht="14.25" customHeight="1">
      <c r="A31" s="6" t="s">
        <v>90</v>
      </c>
      <c r="B31" s="8">
        <v>2678.63</v>
      </c>
      <c r="C31" s="140">
        <v>5000</v>
      </c>
      <c r="D31" s="141" t="s">
        <v>257</v>
      </c>
    </row>
    <row r="32" spans="1:4" ht="14.25" customHeight="1">
      <c r="A32" s="6" t="s">
        <v>92</v>
      </c>
      <c r="B32" s="7">
        <f>5424.57+253.69</f>
        <v>5678.2599999999993</v>
      </c>
      <c r="C32" s="140">
        <v>5600</v>
      </c>
      <c r="D32" s="141" t="s">
        <v>258</v>
      </c>
    </row>
    <row r="33" spans="1:4" ht="14.25" customHeight="1">
      <c r="A33" s="6" t="s">
        <v>259</v>
      </c>
      <c r="B33" s="7">
        <v>0</v>
      </c>
      <c r="C33" s="140">
        <v>400</v>
      </c>
      <c r="D33" s="141" t="s">
        <v>260</v>
      </c>
    </row>
    <row r="34" spans="1:4" ht="14.25" customHeight="1">
      <c r="A34" s="6" t="s">
        <v>261</v>
      </c>
      <c r="B34" s="7"/>
      <c r="C34" s="140">
        <f>35*F7</f>
        <v>350</v>
      </c>
      <c r="D34" s="141" t="s">
        <v>262</v>
      </c>
    </row>
    <row r="35" spans="1:4" ht="14.25" customHeight="1">
      <c r="A35" s="6" t="s">
        <v>263</v>
      </c>
      <c r="B35" s="7">
        <v>0</v>
      </c>
      <c r="C35" s="143">
        <f>C63*2</f>
        <v>4748</v>
      </c>
      <c r="D35" s="141" t="s">
        <v>264</v>
      </c>
    </row>
    <row r="36" spans="1:4" ht="14.25" customHeight="1">
      <c r="A36" s="6" t="s">
        <v>265</v>
      </c>
      <c r="B36" s="7">
        <f>226.28</f>
        <v>226.28</v>
      </c>
      <c r="C36" s="140">
        <v>600</v>
      </c>
      <c r="D36" s="141" t="s">
        <v>266</v>
      </c>
    </row>
    <row r="37" spans="1:4" ht="14.25" customHeight="1">
      <c r="A37" s="6" t="s">
        <v>104</v>
      </c>
      <c r="B37" s="7">
        <v>0</v>
      </c>
      <c r="C37" s="140">
        <v>0</v>
      </c>
      <c r="D37" s="142"/>
    </row>
    <row r="38" spans="1:4" ht="14.25" customHeight="1">
      <c r="A38" s="6" t="s">
        <v>105</v>
      </c>
      <c r="B38" s="7">
        <v>0</v>
      </c>
      <c r="C38" s="140">
        <v>500</v>
      </c>
      <c r="D38" s="141" t="s">
        <v>267</v>
      </c>
    </row>
    <row r="39" spans="1:4" ht="14.25" customHeight="1">
      <c r="A39" s="6" t="s">
        <v>107</v>
      </c>
      <c r="B39" s="7">
        <v>6808.2999999999993</v>
      </c>
      <c r="C39" s="140">
        <v>9000</v>
      </c>
      <c r="D39" s="144" t="s">
        <v>268</v>
      </c>
    </row>
    <row r="40" spans="1:4" ht="14.25" customHeight="1">
      <c r="A40" s="6" t="s">
        <v>108</v>
      </c>
      <c r="B40" s="7">
        <v>850</v>
      </c>
      <c r="C40" s="145">
        <v>1200</v>
      </c>
      <c r="D40" s="146" t="s">
        <v>269</v>
      </c>
    </row>
    <row r="41" spans="1:4" ht="14.25" customHeight="1">
      <c r="A41" s="6" t="s">
        <v>109</v>
      </c>
      <c r="B41" s="137">
        <f t="shared" ref="B41:C41" si="1">SUM(B26:B40)</f>
        <v>20419.629999999997</v>
      </c>
      <c r="C41" s="137">
        <f t="shared" si="1"/>
        <v>38898</v>
      </c>
      <c r="D41" s="138"/>
    </row>
    <row r="42" spans="1:4" ht="14.25" customHeight="1">
      <c r="A42" s="6" t="s">
        <v>110</v>
      </c>
      <c r="B42" s="137">
        <f t="shared" ref="B42:C42" si="2">B41+B25</f>
        <v>20419.629999999997</v>
      </c>
      <c r="C42" s="137">
        <f t="shared" si="2"/>
        <v>45198</v>
      </c>
      <c r="D42" s="138"/>
    </row>
    <row r="43" spans="1:4" ht="14.25" customHeight="1">
      <c r="A43" s="6"/>
      <c r="B43" s="137"/>
      <c r="C43" s="137"/>
      <c r="D43" s="138"/>
    </row>
    <row r="44" spans="1:4" ht="14.25" customHeight="1">
      <c r="A44" s="6" t="s">
        <v>270</v>
      </c>
      <c r="B44" s="7"/>
      <c r="C44" s="130"/>
      <c r="D44" s="131"/>
    </row>
    <row r="45" spans="1:4" ht="14.25" customHeight="1">
      <c r="A45" s="6" t="s">
        <v>271</v>
      </c>
      <c r="B45" s="7">
        <f>5655+300</f>
        <v>5955</v>
      </c>
      <c r="C45" s="130">
        <v>16000</v>
      </c>
      <c r="D45" s="131"/>
    </row>
    <row r="46" spans="1:4" ht="14.25" customHeight="1">
      <c r="A46" s="6" t="s">
        <v>272</v>
      </c>
      <c r="B46" s="147">
        <v>0</v>
      </c>
      <c r="C46" s="130"/>
      <c r="D46" s="131"/>
    </row>
    <row r="47" spans="1:4" ht="14.25" customHeight="1">
      <c r="A47" s="6" t="s">
        <v>116</v>
      </c>
      <c r="B47" s="137">
        <f t="shared" ref="B47:C47" si="3">(B45)+(B46)</f>
        <v>5955</v>
      </c>
      <c r="C47" s="137">
        <f t="shared" si="3"/>
        <v>16000</v>
      </c>
      <c r="D47" s="138"/>
    </row>
    <row r="48" spans="1:4" ht="14.25" customHeight="1">
      <c r="A48" s="6" t="s">
        <v>273</v>
      </c>
      <c r="B48" s="7"/>
      <c r="C48" s="130"/>
      <c r="D48" s="131"/>
    </row>
    <row r="49" spans="1:4" ht="14.25" customHeight="1">
      <c r="A49" s="6" t="s">
        <v>274</v>
      </c>
      <c r="B49" s="7">
        <f>8267.13</f>
        <v>8267.1299999999992</v>
      </c>
      <c r="C49" s="130">
        <v>15000</v>
      </c>
      <c r="D49" s="131" t="s">
        <v>275</v>
      </c>
    </row>
    <row r="50" spans="1:4" ht="14.25" customHeight="1">
      <c r="A50" s="6" t="s">
        <v>276</v>
      </c>
      <c r="B50" s="147">
        <v>0</v>
      </c>
      <c r="C50" s="130"/>
      <c r="D50" s="131"/>
    </row>
    <row r="51" spans="1:4" ht="14.25" customHeight="1">
      <c r="A51" s="6" t="s">
        <v>277</v>
      </c>
      <c r="B51" s="137">
        <f>B49+B50</f>
        <v>8267.1299999999992</v>
      </c>
      <c r="C51" s="137">
        <f>(C49)+(C50)</f>
        <v>15000</v>
      </c>
      <c r="D51" s="138"/>
    </row>
    <row r="52" spans="1:4" ht="14.25" customHeight="1">
      <c r="A52" s="6" t="s">
        <v>278</v>
      </c>
      <c r="B52" s="137">
        <f t="shared" ref="B52:C52" si="4">B47-B51</f>
        <v>-2312.1299999999992</v>
      </c>
      <c r="C52" s="137">
        <f t="shared" si="4"/>
        <v>1000</v>
      </c>
      <c r="D52" s="138"/>
    </row>
    <row r="53" spans="1:4" ht="14.25" customHeight="1">
      <c r="A53" s="6" t="s">
        <v>279</v>
      </c>
      <c r="B53" s="137">
        <f t="shared" ref="B53:C53" si="5">B17-B42+B52</f>
        <v>-3927.1899999999969</v>
      </c>
      <c r="C53" s="137">
        <f t="shared" si="5"/>
        <v>1802</v>
      </c>
      <c r="D53" s="138"/>
    </row>
    <row r="54" spans="1:4" ht="14.25" customHeight="1">
      <c r="A54" s="6"/>
      <c r="B54" s="7"/>
      <c r="C54" s="130"/>
      <c r="D54" s="131"/>
    </row>
    <row r="55" spans="1:4" ht="14.25" customHeight="1">
      <c r="A55" s="24" t="s">
        <v>280</v>
      </c>
      <c r="B55" s="15"/>
      <c r="C55" s="148">
        <f>C35+C34</f>
        <v>5098</v>
      </c>
      <c r="D55" s="149" t="s">
        <v>281</v>
      </c>
    </row>
    <row r="56" spans="1:4" ht="14.25" customHeight="1">
      <c r="A56" s="24" t="s">
        <v>282</v>
      </c>
      <c r="B56" s="15"/>
      <c r="C56" s="148">
        <f>-C53-C55</f>
        <v>-6900</v>
      </c>
      <c r="D56" s="149"/>
    </row>
    <row r="57" spans="1:4" ht="14.25" customHeight="1">
      <c r="B57" s="15"/>
      <c r="C57" s="42"/>
      <c r="D57" s="149"/>
    </row>
    <row r="58" spans="1:4" ht="14.25" customHeight="1">
      <c r="B58" s="15"/>
      <c r="C58" s="42"/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122"/>
      <c r="D60" s="149"/>
    </row>
    <row r="61" spans="1:4" ht="14.25" customHeight="1">
      <c r="A61" s="150" t="s">
        <v>283</v>
      </c>
      <c r="B61" s="151"/>
      <c r="C61" s="152"/>
      <c r="D61" s="153"/>
    </row>
    <row r="62" spans="1:4" ht="14.25" customHeight="1">
      <c r="A62" s="154" t="s">
        <v>229</v>
      </c>
      <c r="B62" s="17"/>
      <c r="C62" s="155">
        <v>2969</v>
      </c>
      <c r="D62" s="153"/>
    </row>
    <row r="63" spans="1:4" ht="14.25" customHeight="1">
      <c r="A63" s="156" t="s">
        <v>284</v>
      </c>
      <c r="B63" s="157"/>
      <c r="C63" s="158">
        <v>2374</v>
      </c>
      <c r="D63" s="153"/>
    </row>
    <row r="64" spans="1:4" ht="14.25" customHeight="1">
      <c r="B64" s="15"/>
      <c r="C64" s="40"/>
      <c r="D64" s="149"/>
    </row>
    <row r="65" spans="4:4" ht="14.25" customHeight="1">
      <c r="D65" s="109"/>
    </row>
    <row r="66" spans="4:4" ht="14.25" customHeight="1">
      <c r="D66" s="109"/>
    </row>
    <row r="67" spans="4:4" ht="14.25" customHeight="1">
      <c r="D67" s="109"/>
    </row>
    <row r="68" spans="4:4" ht="14.25" customHeight="1">
      <c r="D68" s="109"/>
    </row>
    <row r="69" spans="4:4" ht="14.25" customHeight="1">
      <c r="D69" s="109"/>
    </row>
    <row r="70" spans="4:4" ht="14.25" customHeight="1">
      <c r="D70" s="109"/>
    </row>
    <row r="71" spans="4:4" ht="14.25" customHeight="1">
      <c r="D71" s="109"/>
    </row>
    <row r="72" spans="4:4" ht="14.25" customHeight="1">
      <c r="D72" s="109"/>
    </row>
    <row r="73" spans="4:4" ht="14.25" customHeight="1">
      <c r="D73" s="109"/>
    </row>
    <row r="74" spans="4:4" ht="14.25" customHeight="1">
      <c r="D74" s="109"/>
    </row>
    <row r="75" spans="4:4" ht="14.25" customHeight="1">
      <c r="D75" s="109"/>
    </row>
    <row r="76" spans="4:4" ht="14.25" customHeight="1">
      <c r="D76" s="109"/>
    </row>
    <row r="77" spans="4:4" ht="14.25" customHeight="1">
      <c r="D77" s="109"/>
    </row>
    <row r="78" spans="4:4" ht="14.25" customHeight="1">
      <c r="D78" s="109"/>
    </row>
    <row r="79" spans="4:4" ht="14.25" customHeight="1">
      <c r="D79" s="109"/>
    </row>
    <row r="80" spans="4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/>
    <row r="967" spans="4:4" ht="14.25" customHeight="1"/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978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2" width="12" customWidth="1"/>
    <col min="3" max="3" width="16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285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59">
        <v>22294.06</v>
      </c>
      <c r="C2" s="15"/>
      <c r="D2" s="115" t="s">
        <v>286</v>
      </c>
      <c r="E2" s="116" t="s">
        <v>229</v>
      </c>
      <c r="F2" s="117">
        <v>13</v>
      </c>
      <c r="G2" s="118" t="s">
        <v>230</v>
      </c>
    </row>
    <row r="3" spans="1:7" ht="14.25" customHeight="1">
      <c r="B3" s="108"/>
      <c r="C3" s="15"/>
      <c r="D3" s="115" t="s">
        <v>287</v>
      </c>
      <c r="E3" s="116" t="s">
        <v>232</v>
      </c>
      <c r="F3" s="120">
        <v>27</v>
      </c>
      <c r="G3" s="118" t="s">
        <v>230</v>
      </c>
    </row>
    <row r="4" spans="1:7" ht="14.25" customHeight="1">
      <c r="B4" s="108"/>
      <c r="C4" s="15"/>
      <c r="D4" s="160" t="s">
        <v>288</v>
      </c>
      <c r="E4" s="116" t="s">
        <v>233</v>
      </c>
      <c r="F4" s="117">
        <f>F2+F3</f>
        <v>40</v>
      </c>
      <c r="G4" s="118"/>
    </row>
    <row r="5" spans="1:7" ht="14.25" customHeight="1">
      <c r="B5" s="108"/>
      <c r="C5" s="15"/>
      <c r="D5" s="115" t="s">
        <v>289</v>
      </c>
      <c r="E5" s="116"/>
      <c r="G5" s="118"/>
    </row>
    <row r="6" spans="1:7" ht="14.25" customHeight="1">
      <c r="B6" s="121"/>
      <c r="C6" s="161"/>
      <c r="D6" s="162"/>
      <c r="E6" s="124" t="s">
        <v>234</v>
      </c>
      <c r="F6" s="125">
        <v>7</v>
      </c>
      <c r="G6" s="126" t="s">
        <v>235</v>
      </c>
    </row>
    <row r="7" spans="1:7" ht="14.25" customHeight="1">
      <c r="A7" s="4"/>
      <c r="B7" s="163" t="s">
        <v>236</v>
      </c>
      <c r="C7" s="164" t="s">
        <v>237</v>
      </c>
      <c r="D7" s="165" t="s">
        <v>5</v>
      </c>
    </row>
    <row r="8" spans="1:7" ht="14.25" customHeight="1">
      <c r="A8" s="6" t="s">
        <v>6</v>
      </c>
      <c r="B8" s="7"/>
      <c r="C8" s="130"/>
      <c r="D8" s="131"/>
    </row>
    <row r="9" spans="1:7" ht="14.25" customHeight="1">
      <c r="A9" s="6" t="s">
        <v>7</v>
      </c>
      <c r="B9" s="7">
        <v>363.22</v>
      </c>
      <c r="C9" s="132">
        <f t="shared" ref="C9:C15" si="0">B9</f>
        <v>363.22</v>
      </c>
      <c r="D9" s="131" t="s">
        <v>290</v>
      </c>
    </row>
    <row r="10" spans="1:7" ht="14.25" customHeight="1">
      <c r="A10" s="6" t="s">
        <v>239</v>
      </c>
      <c r="B10" s="7"/>
      <c r="C10" s="132">
        <f t="shared" si="0"/>
        <v>0</v>
      </c>
      <c r="D10" s="131"/>
    </row>
    <row r="11" spans="1:7" ht="14.25" customHeight="1">
      <c r="A11" s="6" t="s">
        <v>291</v>
      </c>
      <c r="B11" s="7">
        <v>6726.35</v>
      </c>
      <c r="C11" s="132">
        <f t="shared" si="0"/>
        <v>6726.35</v>
      </c>
      <c r="D11" s="131" t="s">
        <v>292</v>
      </c>
      <c r="F11" s="166"/>
    </row>
    <row r="12" spans="1:7" ht="14.25" customHeight="1">
      <c r="A12" s="6" t="s">
        <v>241</v>
      </c>
      <c r="B12" s="7"/>
      <c r="C12" s="132">
        <f t="shared" si="0"/>
        <v>0</v>
      </c>
      <c r="D12" s="131" t="s">
        <v>242</v>
      </c>
    </row>
    <row r="13" spans="1:7" ht="14.25" customHeight="1">
      <c r="A13" s="6" t="s">
        <v>243</v>
      </c>
      <c r="B13" s="7">
        <v>5292.83</v>
      </c>
      <c r="C13" s="132">
        <f t="shared" si="0"/>
        <v>5292.83</v>
      </c>
      <c r="D13" s="131"/>
    </row>
    <row r="14" spans="1:7" ht="14.25" customHeight="1">
      <c r="A14" s="6" t="s">
        <v>37</v>
      </c>
      <c r="B14" s="7"/>
      <c r="C14" s="132">
        <f t="shared" si="0"/>
        <v>0</v>
      </c>
      <c r="D14" s="131"/>
    </row>
    <row r="15" spans="1:7" ht="14.25" customHeight="1">
      <c r="A15" s="6" t="s">
        <v>246</v>
      </c>
      <c r="B15" s="7">
        <v>12150.7</v>
      </c>
      <c r="C15" s="132">
        <f t="shared" si="0"/>
        <v>12150.7</v>
      </c>
      <c r="D15" s="131" t="s">
        <v>247</v>
      </c>
    </row>
    <row r="16" spans="1:7" ht="14.25" customHeight="1">
      <c r="A16" s="6" t="s">
        <v>248</v>
      </c>
      <c r="B16" s="134"/>
      <c r="C16" s="135"/>
      <c r="D16" s="136"/>
    </row>
    <row r="17" spans="1:27" ht="14.25" customHeight="1">
      <c r="A17" s="6" t="s">
        <v>41</v>
      </c>
      <c r="B17" s="137">
        <f t="shared" ref="B17:C17" si="1">SUM(B9:B15)</f>
        <v>24533.100000000002</v>
      </c>
      <c r="C17" s="137">
        <f t="shared" si="1"/>
        <v>24533.100000000002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>
        <f t="shared" ref="C21:C25" si="2">B21</f>
        <v>0</v>
      </c>
      <c r="D21" s="131"/>
    </row>
    <row r="22" spans="1:27" ht="14.25" customHeight="1">
      <c r="A22" s="6" t="s">
        <v>293</v>
      </c>
      <c r="B22" s="7">
        <v>4462.7</v>
      </c>
      <c r="C22" s="130">
        <f t="shared" si="2"/>
        <v>4462.7</v>
      </c>
      <c r="D22" s="131"/>
    </row>
    <row r="23" spans="1:27" ht="14.25" customHeight="1">
      <c r="A23" s="6" t="s">
        <v>250</v>
      </c>
      <c r="B23" s="7">
        <v>1638.84</v>
      </c>
      <c r="C23" s="130">
        <f t="shared" si="2"/>
        <v>1638.84</v>
      </c>
      <c r="D23" s="131"/>
    </row>
    <row r="24" spans="1:27" ht="14.25" customHeight="1">
      <c r="A24" s="6" t="s">
        <v>251</v>
      </c>
      <c r="B24" s="7">
        <v>0</v>
      </c>
      <c r="C24" s="130">
        <f t="shared" si="2"/>
        <v>0</v>
      </c>
      <c r="D24" s="131"/>
    </row>
    <row r="25" spans="1:27" ht="14.25" customHeight="1">
      <c r="A25" s="6" t="s">
        <v>252</v>
      </c>
      <c r="B25" s="7">
        <v>0</v>
      </c>
      <c r="C25" s="130">
        <f t="shared" si="2"/>
        <v>0</v>
      </c>
      <c r="D25" s="131"/>
    </row>
    <row r="26" spans="1:27" ht="14.25" customHeight="1">
      <c r="A26" s="6" t="s">
        <v>253</v>
      </c>
      <c r="B26" s="137">
        <f t="shared" ref="B26:C26" si="3">SUM(B21:B25)</f>
        <v>6101.54</v>
      </c>
      <c r="C26" s="137">
        <f t="shared" si="3"/>
        <v>6101.54</v>
      </c>
      <c r="D26" s="138"/>
    </row>
    <row r="27" spans="1:27" ht="14.25" customHeight="1">
      <c r="A27" s="6" t="s">
        <v>81</v>
      </c>
      <c r="B27" s="7"/>
      <c r="C27" s="130"/>
      <c r="D27" s="131"/>
    </row>
    <row r="28" spans="1:27" ht="14.25" customHeight="1">
      <c r="A28" s="6" t="s">
        <v>86</v>
      </c>
      <c r="B28" s="8">
        <v>1921.44</v>
      </c>
      <c r="C28" s="139">
        <f t="shared" ref="C28:C34" si="4">B28</f>
        <v>1921.44</v>
      </c>
      <c r="D28" s="131"/>
    </row>
    <row r="29" spans="1:27" ht="14.25" customHeight="1">
      <c r="A29" s="6" t="s">
        <v>87</v>
      </c>
      <c r="B29" s="7">
        <v>0</v>
      </c>
      <c r="C29" s="139">
        <f t="shared" si="4"/>
        <v>0</v>
      </c>
      <c r="D29" s="131"/>
    </row>
    <row r="30" spans="1:27" ht="14.25" customHeight="1">
      <c r="A30" s="167" t="s">
        <v>255</v>
      </c>
      <c r="B30" s="168">
        <v>74.510000000000005</v>
      </c>
      <c r="C30" s="139">
        <f t="shared" si="4"/>
        <v>74.510000000000005</v>
      </c>
      <c r="D30" s="141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0</v>
      </c>
      <c r="C31" s="139">
        <f t="shared" si="4"/>
        <v>0</v>
      </c>
      <c r="D31" s="131"/>
    </row>
    <row r="32" spans="1:27" ht="14.25" customHeight="1">
      <c r="A32" s="6" t="s">
        <v>294</v>
      </c>
      <c r="B32" s="8">
        <v>0</v>
      </c>
      <c r="C32" s="139">
        <f t="shared" si="4"/>
        <v>0</v>
      </c>
      <c r="D32" s="131"/>
    </row>
    <row r="33" spans="1:4" ht="14.25" customHeight="1">
      <c r="A33" s="6" t="s">
        <v>92</v>
      </c>
      <c r="B33" s="7">
        <v>1048.6400000000001</v>
      </c>
      <c r="C33" s="139">
        <f t="shared" si="4"/>
        <v>1048.6400000000001</v>
      </c>
      <c r="D33" s="131"/>
    </row>
    <row r="34" spans="1:4" ht="14.25" customHeight="1">
      <c r="A34" s="6" t="s">
        <v>259</v>
      </c>
      <c r="B34" s="7">
        <v>0</v>
      </c>
      <c r="C34" s="139">
        <f t="shared" si="4"/>
        <v>0</v>
      </c>
      <c r="D34" s="131" t="s">
        <v>260</v>
      </c>
    </row>
    <row r="35" spans="1:4" ht="14.25" customHeight="1">
      <c r="A35" s="6" t="s">
        <v>261</v>
      </c>
      <c r="B35" s="7"/>
      <c r="C35" s="130">
        <f>35*F6</f>
        <v>245</v>
      </c>
      <c r="D35" s="131" t="s">
        <v>262</v>
      </c>
    </row>
    <row r="36" spans="1:4" ht="14.25" customHeight="1">
      <c r="A36" s="6" t="s">
        <v>263</v>
      </c>
      <c r="B36" s="7">
        <f>5052.54+1500</f>
        <v>6552.54</v>
      </c>
      <c r="C36" s="130">
        <f>C65+750</f>
        <v>3124</v>
      </c>
      <c r="D36" s="170" t="s">
        <v>295</v>
      </c>
    </row>
    <row r="37" spans="1:4" ht="14.25" customHeight="1">
      <c r="A37" s="6" t="s">
        <v>296</v>
      </c>
      <c r="B37" s="7"/>
      <c r="C37" s="130">
        <v>5000</v>
      </c>
      <c r="D37" s="131" t="s">
        <v>297</v>
      </c>
    </row>
    <row r="38" spans="1:4" ht="14.25" customHeight="1">
      <c r="A38" s="6" t="s">
        <v>265</v>
      </c>
      <c r="B38" s="7">
        <v>390.3</v>
      </c>
      <c r="C38" s="130">
        <f t="shared" ref="C38:C39" si="5">B38</f>
        <v>390.3</v>
      </c>
      <c r="D38" s="131"/>
    </row>
    <row r="39" spans="1:4" ht="14.25" customHeight="1">
      <c r="A39" s="6" t="s">
        <v>104</v>
      </c>
      <c r="B39" s="7">
        <v>0</v>
      </c>
      <c r="C39" s="130">
        <f t="shared" si="5"/>
        <v>0</v>
      </c>
      <c r="D39" s="131"/>
    </row>
    <row r="40" spans="1:4" ht="14.25" customHeight="1">
      <c r="A40" s="6" t="s">
        <v>105</v>
      </c>
      <c r="B40" s="7">
        <v>1135.83</v>
      </c>
      <c r="C40" s="130">
        <v>2000</v>
      </c>
      <c r="D40" s="131" t="s">
        <v>298</v>
      </c>
    </row>
    <row r="41" spans="1:4" ht="14.25" customHeight="1">
      <c r="A41" s="6" t="s">
        <v>107</v>
      </c>
      <c r="B41" s="7">
        <v>7357.59</v>
      </c>
      <c r="C41" s="130">
        <v>0</v>
      </c>
      <c r="D41" s="131" t="s">
        <v>268</v>
      </c>
    </row>
    <row r="42" spans="1:4" ht="14.25" customHeight="1">
      <c r="A42" s="6" t="s">
        <v>108</v>
      </c>
      <c r="B42" s="7">
        <v>5644.8</v>
      </c>
      <c r="C42" s="130">
        <f>B42</f>
        <v>5644.8</v>
      </c>
      <c r="D42" s="131"/>
    </row>
    <row r="43" spans="1:4" ht="14.25" customHeight="1">
      <c r="A43" s="6" t="s">
        <v>109</v>
      </c>
      <c r="B43" s="137">
        <f t="shared" ref="B43:C43" si="6">SUM(B27:B42)</f>
        <v>24125.649999999998</v>
      </c>
      <c r="C43" s="137">
        <f t="shared" si="6"/>
        <v>19448.689999999999</v>
      </c>
      <c r="D43" s="138"/>
    </row>
    <row r="44" spans="1:4" ht="14.25" customHeight="1">
      <c r="A44" s="6" t="s">
        <v>110</v>
      </c>
      <c r="B44" s="137">
        <f t="shared" ref="B44:C44" si="7">B43+B26</f>
        <v>30227.19</v>
      </c>
      <c r="C44" s="137">
        <f t="shared" si="7"/>
        <v>25550.23</v>
      </c>
      <c r="D44" s="138"/>
    </row>
    <row r="45" spans="1:4" ht="14.25" customHeight="1">
      <c r="A45" s="6"/>
      <c r="B45" s="137"/>
      <c r="C45" s="137"/>
      <c r="D45" s="138"/>
    </row>
    <row r="46" spans="1:4" ht="14.25" customHeight="1">
      <c r="A46" s="6" t="s">
        <v>270</v>
      </c>
      <c r="B46" s="7">
        <v>13325</v>
      </c>
      <c r="C46" s="130">
        <f>B46</f>
        <v>13325</v>
      </c>
      <c r="D46" s="131" t="s">
        <v>299</v>
      </c>
    </row>
    <row r="47" spans="1:4" ht="14.25" customHeight="1">
      <c r="A47" s="6" t="s">
        <v>271</v>
      </c>
      <c r="B47" s="7"/>
      <c r="C47" s="130"/>
    </row>
    <row r="48" spans="1:4" ht="14.25" customHeight="1">
      <c r="A48" s="6" t="s">
        <v>272</v>
      </c>
      <c r="B48" s="147">
        <v>0</v>
      </c>
      <c r="C48" s="130"/>
      <c r="D48" s="131"/>
    </row>
    <row r="49" spans="1:4" ht="14.25" customHeight="1">
      <c r="A49" s="6" t="s">
        <v>116</v>
      </c>
      <c r="B49" s="137">
        <f>(B47)+(B48)+B46</f>
        <v>13325</v>
      </c>
      <c r="C49" s="137">
        <f>(C47)+(C48)</f>
        <v>0</v>
      </c>
      <c r="D49" s="138"/>
    </row>
    <row r="50" spans="1:4" ht="14.25" customHeight="1">
      <c r="A50" s="6" t="s">
        <v>273</v>
      </c>
      <c r="B50" s="7">
        <v>0</v>
      </c>
      <c r="C50" s="130"/>
      <c r="D50" s="131"/>
    </row>
    <row r="51" spans="1:4" ht="14.25" customHeight="1">
      <c r="A51" s="6" t="s">
        <v>274</v>
      </c>
      <c r="B51" s="7">
        <v>9754.99</v>
      </c>
      <c r="C51" s="130">
        <f t="shared" ref="C51:C52" si="8">B51</f>
        <v>9754.99</v>
      </c>
      <c r="D51" s="131" t="s">
        <v>275</v>
      </c>
    </row>
    <row r="52" spans="1:4" ht="14.25" customHeight="1">
      <c r="A52" s="6" t="s">
        <v>276</v>
      </c>
      <c r="B52" s="147">
        <v>3200</v>
      </c>
      <c r="C52" s="130">
        <f t="shared" si="8"/>
        <v>3200</v>
      </c>
      <c r="D52" s="131"/>
    </row>
    <row r="53" spans="1:4" ht="14.25" customHeight="1">
      <c r="A53" s="6" t="s">
        <v>277</v>
      </c>
      <c r="B53" s="137">
        <f t="shared" ref="B53:C53" si="9">(B51)+(B52)</f>
        <v>12954.99</v>
      </c>
      <c r="C53" s="137">
        <f t="shared" si="9"/>
        <v>12954.99</v>
      </c>
      <c r="D53" s="138"/>
    </row>
    <row r="54" spans="1:4" ht="14.25" customHeight="1">
      <c r="A54" s="6" t="s">
        <v>278</v>
      </c>
      <c r="B54" s="137">
        <f t="shared" ref="B54:C54" si="10">B49-B53</f>
        <v>370.01000000000022</v>
      </c>
      <c r="C54" s="137">
        <f t="shared" si="10"/>
        <v>-12954.99</v>
      </c>
      <c r="D54" s="138"/>
    </row>
    <row r="55" spans="1:4" ht="14.25" customHeight="1">
      <c r="A55" s="6" t="s">
        <v>279</v>
      </c>
      <c r="B55" s="137">
        <f t="shared" ref="B55:C55" si="11">B17-B44+B54</f>
        <v>-5324.0799999999963</v>
      </c>
      <c r="C55" s="137">
        <f t="shared" si="11"/>
        <v>-13972.119999999997</v>
      </c>
      <c r="D55" s="138"/>
    </row>
    <row r="56" spans="1:4" ht="14.25" customHeight="1">
      <c r="A56" s="6"/>
      <c r="B56" s="7"/>
      <c r="C56" s="130"/>
      <c r="D56" s="131"/>
    </row>
    <row r="57" spans="1:4" ht="14.25" customHeight="1">
      <c r="A57" s="24" t="s">
        <v>280</v>
      </c>
      <c r="B57" s="15"/>
      <c r="C57" s="148">
        <f>C36+C35+0.5*C37-750</f>
        <v>5119</v>
      </c>
      <c r="D57" s="149" t="s">
        <v>300</v>
      </c>
    </row>
    <row r="58" spans="1:4" ht="14.25" customHeight="1">
      <c r="A58" s="24" t="s">
        <v>282</v>
      </c>
      <c r="B58" s="15"/>
      <c r="C58" s="148">
        <f>C55+C57</f>
        <v>-8853.1199999999972</v>
      </c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42"/>
      <c r="D61" s="149"/>
    </row>
    <row r="62" spans="1:4" ht="14.25" customHeight="1">
      <c r="B62" s="15"/>
      <c r="C62" s="122"/>
      <c r="D62" s="149"/>
    </row>
    <row r="63" spans="1:4" ht="14.25" customHeight="1">
      <c r="A63" s="150" t="s">
        <v>283</v>
      </c>
      <c r="B63" s="151"/>
      <c r="C63" s="152"/>
      <c r="D63" s="153"/>
    </row>
    <row r="64" spans="1:4" ht="14.25" customHeight="1">
      <c r="A64" s="154" t="s">
        <v>229</v>
      </c>
      <c r="B64" s="17"/>
      <c r="C64" s="155">
        <v>2969</v>
      </c>
      <c r="D64" s="153"/>
    </row>
    <row r="65" spans="1:4" ht="14.25" customHeight="1">
      <c r="A65" s="156" t="s">
        <v>284</v>
      </c>
      <c r="B65" s="157"/>
      <c r="C65" s="158">
        <v>2374</v>
      </c>
      <c r="D65" s="153"/>
    </row>
    <row r="66" spans="1:4" ht="14.25" customHeight="1">
      <c r="B66" s="15"/>
      <c r="C66" s="40"/>
      <c r="D66" s="149"/>
    </row>
    <row r="67" spans="1:4" ht="14.25" customHeight="1">
      <c r="D67" s="109"/>
    </row>
    <row r="68" spans="1:4" ht="14.25" customHeight="1">
      <c r="D68" s="109"/>
    </row>
    <row r="69" spans="1:4" ht="14.25" customHeight="1">
      <c r="D69" s="109"/>
    </row>
    <row r="70" spans="1:4" ht="14.25" customHeight="1">
      <c r="D70" s="109"/>
    </row>
    <row r="71" spans="1:4" ht="14.25" customHeight="1">
      <c r="D71" s="109"/>
    </row>
    <row r="72" spans="1:4" ht="14.25" customHeight="1">
      <c r="D72" s="109"/>
    </row>
    <row r="73" spans="1:4" ht="14.25" customHeight="1">
      <c r="D73" s="109"/>
    </row>
    <row r="74" spans="1:4" ht="14.25" customHeight="1">
      <c r="D74" s="109"/>
    </row>
    <row r="75" spans="1:4" ht="14.25" customHeight="1">
      <c r="D75" s="109"/>
    </row>
    <row r="76" spans="1:4" ht="14.25" customHeight="1">
      <c r="D76" s="109"/>
    </row>
    <row r="77" spans="1:4" ht="14.25" customHeight="1">
      <c r="D77" s="109"/>
    </row>
    <row r="78" spans="1:4" ht="14.25" customHeight="1">
      <c r="D78" s="109"/>
    </row>
    <row r="79" spans="1:4" ht="14.25" customHeight="1">
      <c r="D79" s="109"/>
    </row>
    <row r="80" spans="1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>
      <c r="D967" s="109"/>
    </row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  <row r="978" ht="14.25" customHeight="1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78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2" width="12" customWidth="1"/>
    <col min="3" max="3" width="16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301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302</v>
      </c>
      <c r="B2" s="114">
        <v>4725.3900000000003</v>
      </c>
      <c r="C2" s="15"/>
      <c r="D2" s="115" t="s">
        <v>303</v>
      </c>
      <c r="E2" s="116" t="s">
        <v>229</v>
      </c>
      <c r="F2" s="117">
        <v>15</v>
      </c>
      <c r="G2" s="118" t="s">
        <v>230</v>
      </c>
    </row>
    <row r="3" spans="1:7" ht="14.25" customHeight="1">
      <c r="B3" s="108"/>
      <c r="C3" s="15"/>
      <c r="D3" s="115" t="s">
        <v>304</v>
      </c>
      <c r="E3" s="116" t="s">
        <v>232</v>
      </c>
      <c r="F3" s="120">
        <v>15</v>
      </c>
      <c r="G3" s="118" t="s">
        <v>230</v>
      </c>
    </row>
    <row r="4" spans="1:7" ht="14.25" customHeight="1">
      <c r="B4" s="108"/>
      <c r="C4" s="15"/>
      <c r="D4" s="160" t="s">
        <v>288</v>
      </c>
      <c r="E4" s="116" t="s">
        <v>233</v>
      </c>
      <c r="F4" s="117">
        <f>F2+F3</f>
        <v>30</v>
      </c>
      <c r="G4" s="118"/>
    </row>
    <row r="5" spans="1:7" ht="14.25" customHeight="1">
      <c r="B5" s="108"/>
      <c r="C5" s="15"/>
      <c r="D5" s="115" t="s">
        <v>305</v>
      </c>
      <c r="E5" s="116"/>
      <c r="G5" s="118"/>
    </row>
    <row r="6" spans="1:7" ht="14.25" customHeight="1">
      <c r="B6" s="121"/>
      <c r="C6" s="171"/>
      <c r="D6" s="162" t="s">
        <v>306</v>
      </c>
      <c r="E6" s="124" t="s">
        <v>234</v>
      </c>
      <c r="F6" s="125">
        <v>8</v>
      </c>
      <c r="G6" s="126" t="s">
        <v>235</v>
      </c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>
        <v>96.8</v>
      </c>
      <c r="C9" s="132"/>
      <c r="D9" s="131" t="s">
        <v>307</v>
      </c>
    </row>
    <row r="10" spans="1:7" ht="14.25" customHeight="1">
      <c r="A10" s="6" t="s">
        <v>239</v>
      </c>
      <c r="B10" s="7"/>
      <c r="C10" s="130"/>
      <c r="D10" s="131"/>
    </row>
    <row r="11" spans="1:7" ht="14.25" customHeight="1">
      <c r="A11" s="6" t="s">
        <v>241</v>
      </c>
      <c r="B11" s="7"/>
      <c r="C11" s="130"/>
      <c r="D11" s="131" t="s">
        <v>242</v>
      </c>
    </row>
    <row r="12" spans="1:7" ht="14.25" customHeight="1">
      <c r="A12" s="6" t="s">
        <v>243</v>
      </c>
      <c r="B12" s="7">
        <v>581.04999999999995</v>
      </c>
      <c r="C12" s="130">
        <v>1000</v>
      </c>
      <c r="D12" s="131"/>
    </row>
    <row r="13" spans="1:7" ht="14.25" customHeight="1">
      <c r="A13" s="6" t="s">
        <v>37</v>
      </c>
      <c r="B13" s="7">
        <v>5428</v>
      </c>
      <c r="C13" s="132">
        <v>3500</v>
      </c>
      <c r="D13" s="131"/>
    </row>
    <row r="14" spans="1:7" ht="14.25" customHeight="1">
      <c r="A14" s="6" t="s">
        <v>308</v>
      </c>
      <c r="B14" s="7">
        <v>1050</v>
      </c>
      <c r="C14" s="132"/>
      <c r="D14" s="131"/>
    </row>
    <row r="15" spans="1:7" ht="14.25" customHeight="1">
      <c r="A15" s="6" t="s">
        <v>246</v>
      </c>
      <c r="B15" s="7">
        <v>4929.7</v>
      </c>
      <c r="C15" s="132">
        <v>6000</v>
      </c>
      <c r="D15" s="131" t="s">
        <v>309</v>
      </c>
    </row>
    <row r="16" spans="1:7" ht="14.25" customHeight="1">
      <c r="A16" s="6" t="s">
        <v>248</v>
      </c>
      <c r="B16" s="134"/>
      <c r="C16" s="135"/>
      <c r="D16" s="136"/>
    </row>
    <row r="17" spans="1:27" ht="14.25" customHeight="1">
      <c r="A17" s="6" t="s">
        <v>41</v>
      </c>
      <c r="B17" s="137">
        <f t="shared" ref="B17:C17" si="0">SUM(B9:B15)</f>
        <v>12085.55</v>
      </c>
      <c r="C17" s="137">
        <f t="shared" si="0"/>
        <v>10500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/>
      <c r="D21" s="131"/>
    </row>
    <row r="22" spans="1:27" ht="14.25" customHeight="1">
      <c r="A22" s="6" t="s">
        <v>250</v>
      </c>
      <c r="B22" s="7">
        <v>0</v>
      </c>
      <c r="C22" s="130"/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1964</v>
      </c>
      <c r="C24" s="130"/>
      <c r="D24" s="131"/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1">SUM(B21:B25)</f>
        <v>1964</v>
      </c>
      <c r="C26" s="137">
        <f t="shared" si="1"/>
        <v>0</v>
      </c>
      <c r="D26" s="138"/>
    </row>
    <row r="27" spans="1:27" ht="14.25" customHeight="1">
      <c r="A27" s="6" t="s">
        <v>81</v>
      </c>
      <c r="B27" s="7"/>
      <c r="C27" s="130"/>
      <c r="D27" s="131"/>
    </row>
    <row r="28" spans="1:27" ht="14.25" customHeight="1">
      <c r="A28" s="6" t="s">
        <v>86</v>
      </c>
      <c r="B28" s="8">
        <v>1123</v>
      </c>
      <c r="C28" s="139"/>
      <c r="D28" s="131"/>
    </row>
    <row r="29" spans="1:27" ht="14.25" customHeight="1">
      <c r="A29" s="6" t="s">
        <v>87</v>
      </c>
      <c r="B29" s="7">
        <v>0</v>
      </c>
      <c r="C29" s="130"/>
      <c r="D29" s="131"/>
    </row>
    <row r="30" spans="1:27" ht="14.25" customHeight="1">
      <c r="A30" s="167" t="s">
        <v>255</v>
      </c>
      <c r="B30" s="168">
        <v>0</v>
      </c>
      <c r="C30" s="168">
        <v>200</v>
      </c>
      <c r="D30" s="141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0</v>
      </c>
      <c r="C31" s="130">
        <v>200</v>
      </c>
      <c r="D31" s="131"/>
    </row>
    <row r="32" spans="1:27" ht="14.25" customHeight="1">
      <c r="A32" s="6" t="s">
        <v>294</v>
      </c>
      <c r="B32" s="8">
        <v>0</v>
      </c>
      <c r="C32" s="139"/>
      <c r="D32" s="131"/>
    </row>
    <row r="33" spans="1:4" ht="14.25" customHeight="1">
      <c r="A33" s="6" t="s">
        <v>92</v>
      </c>
      <c r="B33" s="7">
        <v>133.93</v>
      </c>
      <c r="C33" s="130"/>
      <c r="D33" s="131"/>
    </row>
    <row r="34" spans="1:4" ht="14.25" customHeight="1">
      <c r="A34" s="6" t="s">
        <v>259</v>
      </c>
      <c r="B34" s="7">
        <v>0</v>
      </c>
      <c r="C34" s="130"/>
      <c r="D34" s="131" t="s">
        <v>260</v>
      </c>
    </row>
    <row r="35" spans="1:4" ht="14.25" customHeight="1">
      <c r="A35" s="6" t="s">
        <v>261</v>
      </c>
      <c r="B35" s="7"/>
      <c r="C35" s="130">
        <f>35*F6</f>
        <v>280</v>
      </c>
      <c r="D35" s="131" t="s">
        <v>262</v>
      </c>
    </row>
    <row r="36" spans="1:4" ht="14.25" customHeight="1">
      <c r="A36" s="6" t="s">
        <v>263</v>
      </c>
      <c r="B36" s="7">
        <v>2345.54</v>
      </c>
      <c r="C36" s="130">
        <f>C65</f>
        <v>2374</v>
      </c>
      <c r="D36" s="131" t="s">
        <v>311</v>
      </c>
    </row>
    <row r="37" spans="1:4" ht="14.25" customHeight="1">
      <c r="A37" s="6" t="s">
        <v>296</v>
      </c>
      <c r="B37" s="7"/>
      <c r="C37" s="130">
        <v>5000</v>
      </c>
      <c r="D37" s="174" t="s">
        <v>312</v>
      </c>
    </row>
    <row r="38" spans="1:4" ht="14.25" customHeight="1">
      <c r="A38" s="6" t="s">
        <v>265</v>
      </c>
      <c r="B38" s="7">
        <v>862.17</v>
      </c>
      <c r="C38" s="130">
        <v>1000</v>
      </c>
      <c r="D38" s="131"/>
    </row>
    <row r="39" spans="1:4" ht="14.25" customHeight="1">
      <c r="A39" s="6" t="s">
        <v>104</v>
      </c>
      <c r="B39" s="7">
        <v>0</v>
      </c>
      <c r="C39" s="130"/>
      <c r="D39" s="131"/>
    </row>
    <row r="40" spans="1:4" ht="14.25" customHeight="1">
      <c r="A40" s="6" t="s">
        <v>105</v>
      </c>
      <c r="B40" s="7">
        <v>0</v>
      </c>
      <c r="C40" s="130"/>
      <c r="D40" s="131"/>
    </row>
    <row r="41" spans="1:4" ht="14.25" customHeight="1">
      <c r="A41" s="6" t="s">
        <v>107</v>
      </c>
      <c r="B41" s="7">
        <v>0</v>
      </c>
      <c r="C41" s="130"/>
      <c r="D41" s="131" t="s">
        <v>268</v>
      </c>
    </row>
    <row r="42" spans="1:4" ht="14.25" customHeight="1">
      <c r="A42" s="6" t="s">
        <v>108</v>
      </c>
      <c r="B42" s="7">
        <v>1075</v>
      </c>
      <c r="C42" s="130">
        <v>1500</v>
      </c>
      <c r="D42" s="131"/>
    </row>
    <row r="43" spans="1:4" ht="14.25" customHeight="1">
      <c r="A43" s="6" t="s">
        <v>109</v>
      </c>
      <c r="B43" s="137">
        <f t="shared" ref="B43:C43" si="2">SUM(B27:B42)</f>
        <v>5539.64</v>
      </c>
      <c r="C43" s="137">
        <f t="shared" si="2"/>
        <v>10554</v>
      </c>
      <c r="D43" s="138"/>
    </row>
    <row r="44" spans="1:4" ht="14.25" customHeight="1">
      <c r="A44" s="6" t="s">
        <v>110</v>
      </c>
      <c r="B44" s="137">
        <f t="shared" ref="B44:C44" si="3">B43+B26</f>
        <v>7503.64</v>
      </c>
      <c r="C44" s="137">
        <f t="shared" si="3"/>
        <v>10554</v>
      </c>
      <c r="D44" s="138"/>
    </row>
    <row r="45" spans="1:4" ht="14.25" customHeight="1">
      <c r="A45" s="6"/>
      <c r="B45" s="137"/>
      <c r="C45" s="137"/>
      <c r="D45" s="138"/>
    </row>
    <row r="46" spans="1:4" ht="14.25" customHeight="1">
      <c r="A46" s="6" t="s">
        <v>270</v>
      </c>
      <c r="B46" s="7"/>
      <c r="C46" s="130"/>
      <c r="D46" s="131"/>
    </row>
    <row r="47" spans="1:4" ht="14.25" customHeight="1">
      <c r="A47" s="6" t="s">
        <v>271</v>
      </c>
      <c r="B47" s="7">
        <v>0</v>
      </c>
      <c r="C47" s="130"/>
    </row>
    <row r="48" spans="1:4" ht="14.25" customHeight="1">
      <c r="A48" s="6" t="s">
        <v>272</v>
      </c>
      <c r="B48" s="147">
        <v>919.45</v>
      </c>
      <c r="C48" s="130"/>
      <c r="D48" s="131"/>
    </row>
    <row r="49" spans="1:4" ht="14.25" customHeight="1">
      <c r="A49" s="6" t="s">
        <v>116</v>
      </c>
      <c r="B49" s="137">
        <f>(B47)+(B48)+B46</f>
        <v>919.45</v>
      </c>
      <c r="C49" s="137">
        <f>(C47)+(C48)</f>
        <v>0</v>
      </c>
      <c r="D49" s="138"/>
    </row>
    <row r="50" spans="1:4" ht="14.25" customHeight="1">
      <c r="A50" s="6" t="s">
        <v>273</v>
      </c>
      <c r="B50" s="7">
        <v>0</v>
      </c>
      <c r="C50" s="130"/>
      <c r="D50" s="131"/>
    </row>
    <row r="51" spans="1:4" ht="14.25" customHeight="1">
      <c r="A51" s="6" t="s">
        <v>274</v>
      </c>
      <c r="B51" s="7">
        <f>970.18+5043.76</f>
        <v>6013.9400000000005</v>
      </c>
      <c r="C51" s="130"/>
      <c r="D51" s="131" t="s">
        <v>275</v>
      </c>
    </row>
    <row r="52" spans="1:4" ht="14.25" customHeight="1">
      <c r="A52" s="6" t="s">
        <v>276</v>
      </c>
      <c r="B52" s="147">
        <v>2671.87</v>
      </c>
      <c r="C52" s="130">
        <v>5800</v>
      </c>
      <c r="D52" s="131"/>
    </row>
    <row r="53" spans="1:4" ht="14.25" customHeight="1">
      <c r="A53" s="6" t="s">
        <v>277</v>
      </c>
      <c r="B53" s="137">
        <f t="shared" ref="B53:C53" si="4">(B51)+(B52)</f>
        <v>8685.8100000000013</v>
      </c>
      <c r="C53" s="137">
        <f t="shared" si="4"/>
        <v>5800</v>
      </c>
      <c r="D53" s="138"/>
    </row>
    <row r="54" spans="1:4" ht="14.25" customHeight="1">
      <c r="A54" s="6" t="s">
        <v>278</v>
      </c>
      <c r="B54" s="137">
        <f t="shared" ref="B54:C54" si="5">B49-B53</f>
        <v>-7766.3600000000015</v>
      </c>
      <c r="C54" s="137">
        <f t="shared" si="5"/>
        <v>-5800</v>
      </c>
      <c r="D54" s="138"/>
    </row>
    <row r="55" spans="1:4" ht="14.25" customHeight="1">
      <c r="A55" s="6" t="s">
        <v>279</v>
      </c>
      <c r="B55" s="137">
        <f t="shared" ref="B55:C55" si="6">B17-B44+B54</f>
        <v>-3184.4500000000025</v>
      </c>
      <c r="C55" s="137">
        <f t="shared" si="6"/>
        <v>-5854</v>
      </c>
      <c r="D55" s="138"/>
    </row>
    <row r="56" spans="1:4" ht="14.25" customHeight="1">
      <c r="A56" s="6"/>
      <c r="B56" s="7"/>
      <c r="C56" s="130"/>
      <c r="D56" s="131"/>
    </row>
    <row r="57" spans="1:4" ht="14.25" customHeight="1">
      <c r="A57" s="46" t="s">
        <v>280</v>
      </c>
      <c r="B57" s="15"/>
      <c r="C57" s="148">
        <f>C36+C35+0.5*C37</f>
        <v>5154</v>
      </c>
      <c r="D57" s="149" t="s">
        <v>300</v>
      </c>
    </row>
    <row r="58" spans="1:4" ht="14.25" customHeight="1">
      <c r="A58" s="24" t="s">
        <v>282</v>
      </c>
      <c r="B58" s="15"/>
      <c r="C58" s="148">
        <f>C55+C57</f>
        <v>-700</v>
      </c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42"/>
      <c r="D61" s="149"/>
    </row>
    <row r="62" spans="1:4" ht="14.25" customHeight="1">
      <c r="B62" s="15"/>
      <c r="C62" s="122"/>
      <c r="D62" s="149"/>
    </row>
    <row r="63" spans="1:4" ht="14.25" customHeight="1">
      <c r="A63" s="150" t="s">
        <v>283</v>
      </c>
      <c r="B63" s="151"/>
      <c r="C63" s="152"/>
      <c r="D63" s="153"/>
    </row>
    <row r="64" spans="1:4" ht="14.25" customHeight="1">
      <c r="A64" s="154" t="s">
        <v>229</v>
      </c>
      <c r="B64" s="17"/>
      <c r="C64" s="155">
        <v>2969</v>
      </c>
      <c r="D64" s="153"/>
    </row>
    <row r="65" spans="1:4" ht="14.25" customHeight="1">
      <c r="A65" s="156" t="s">
        <v>284</v>
      </c>
      <c r="B65" s="157"/>
      <c r="C65" s="158">
        <v>2374</v>
      </c>
      <c r="D65" s="153"/>
    </row>
    <row r="66" spans="1:4" ht="14.25" customHeight="1">
      <c r="B66" s="15"/>
      <c r="C66" s="40"/>
      <c r="D66" s="149"/>
    </row>
    <row r="67" spans="1:4" ht="14.25" customHeight="1">
      <c r="D67" s="109"/>
    </row>
    <row r="68" spans="1:4" ht="14.25" customHeight="1">
      <c r="D68" s="109"/>
    </row>
    <row r="69" spans="1:4" ht="14.25" customHeight="1">
      <c r="D69" s="109"/>
    </row>
    <row r="70" spans="1:4" ht="14.25" customHeight="1">
      <c r="D70" s="109"/>
    </row>
    <row r="71" spans="1:4" ht="14.25" customHeight="1">
      <c r="D71" s="109"/>
    </row>
    <row r="72" spans="1:4" ht="14.25" customHeight="1">
      <c r="D72" s="109"/>
    </row>
    <row r="73" spans="1:4" ht="14.25" customHeight="1">
      <c r="D73" s="109"/>
    </row>
    <row r="74" spans="1:4" ht="14.25" customHeight="1">
      <c r="D74" s="109"/>
    </row>
    <row r="75" spans="1:4" ht="14.25" customHeight="1">
      <c r="D75" s="109"/>
    </row>
    <row r="76" spans="1:4" ht="14.25" customHeight="1">
      <c r="D76" s="109"/>
    </row>
    <row r="77" spans="1:4" ht="14.25" customHeight="1">
      <c r="D77" s="109"/>
    </row>
    <row r="78" spans="1:4" ht="14.25" customHeight="1">
      <c r="D78" s="109"/>
    </row>
    <row r="79" spans="1:4" ht="14.25" customHeight="1">
      <c r="D79" s="109"/>
    </row>
    <row r="80" spans="1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>
      <c r="D967" s="109"/>
    </row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  <row r="978" ht="14.25" customHeight="1"/>
  </sheetData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977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2" width="12" customWidth="1"/>
    <col min="3" max="3" width="16" customWidth="1"/>
    <col min="4" max="4" width="54.42578125" customWidth="1"/>
    <col min="5" max="5" width="16.57031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75" t="s">
        <v>171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59">
        <v>7775.87</v>
      </c>
      <c r="C2" s="15"/>
      <c r="D2" s="115" t="s">
        <v>313</v>
      </c>
      <c r="E2" s="116" t="s">
        <v>229</v>
      </c>
      <c r="F2" s="176">
        <v>18</v>
      </c>
      <c r="G2" s="118" t="s">
        <v>230</v>
      </c>
    </row>
    <row r="3" spans="1:7" ht="14.25" customHeight="1">
      <c r="B3" s="108"/>
      <c r="C3" s="15"/>
      <c r="D3" s="115" t="s">
        <v>314</v>
      </c>
      <c r="E3" s="116" t="s">
        <v>315</v>
      </c>
      <c r="F3" s="176">
        <v>8</v>
      </c>
      <c r="G3" s="118" t="s">
        <v>230</v>
      </c>
    </row>
    <row r="4" spans="1:7" ht="14.25" customHeight="1">
      <c r="A4" s="24" t="s">
        <v>316</v>
      </c>
      <c r="B4" s="108"/>
      <c r="C4" s="15"/>
      <c r="D4" s="160" t="s">
        <v>288</v>
      </c>
      <c r="E4" s="116" t="s">
        <v>317</v>
      </c>
      <c r="F4" s="176">
        <v>15</v>
      </c>
      <c r="G4" s="118"/>
    </row>
    <row r="5" spans="1:7" ht="14.25" customHeight="1">
      <c r="B5" s="108"/>
      <c r="C5" s="15"/>
      <c r="D5" s="119" t="s">
        <v>318</v>
      </c>
      <c r="E5" s="116" t="s">
        <v>319</v>
      </c>
      <c r="F5" s="177">
        <v>16</v>
      </c>
      <c r="G5" s="118"/>
    </row>
    <row r="6" spans="1:7" ht="14.25" customHeight="1">
      <c r="B6" s="121"/>
      <c r="C6" s="122"/>
      <c r="D6" s="178"/>
      <c r="E6" s="124" t="s">
        <v>233</v>
      </c>
      <c r="F6" s="179">
        <f>SUM(F2:F5)</f>
        <v>57</v>
      </c>
      <c r="G6" s="126"/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72"/>
      <c r="D8" s="173"/>
    </row>
    <row r="9" spans="1:7" ht="14.25" customHeight="1">
      <c r="A9" s="6" t="s">
        <v>7</v>
      </c>
      <c r="B9" s="7">
        <v>0</v>
      </c>
      <c r="C9" s="132">
        <v>11400</v>
      </c>
      <c r="D9" s="131" t="s">
        <v>320</v>
      </c>
    </row>
    <row r="10" spans="1:7" ht="14.25" customHeight="1">
      <c r="A10" s="6" t="s">
        <v>239</v>
      </c>
      <c r="B10" s="7">
        <v>0</v>
      </c>
      <c r="C10" s="130"/>
      <c r="D10" s="131"/>
    </row>
    <row r="11" spans="1:7" ht="14.25" customHeight="1">
      <c r="A11" s="6" t="s">
        <v>321</v>
      </c>
      <c r="B11" s="7">
        <v>19397</v>
      </c>
      <c r="C11" s="130">
        <f>20000-8400</f>
        <v>11600</v>
      </c>
      <c r="D11" s="131"/>
    </row>
    <row r="12" spans="1:7" ht="14.25" customHeight="1">
      <c r="A12" s="6" t="s">
        <v>241</v>
      </c>
      <c r="B12" s="7">
        <v>63</v>
      </c>
      <c r="C12" s="130">
        <v>150</v>
      </c>
      <c r="D12" s="131" t="s">
        <v>242</v>
      </c>
    </row>
    <row r="13" spans="1:7" ht="14.25" customHeight="1">
      <c r="A13" s="6" t="s">
        <v>243</v>
      </c>
      <c r="B13" s="7">
        <v>0</v>
      </c>
      <c r="C13" s="130"/>
      <c r="D13" s="131"/>
    </row>
    <row r="14" spans="1:7" ht="14.25" customHeight="1">
      <c r="A14" s="6" t="s">
        <v>37</v>
      </c>
      <c r="B14" s="7">
        <v>7428</v>
      </c>
      <c r="C14" s="132">
        <v>8400</v>
      </c>
      <c r="D14" s="131" t="s">
        <v>322</v>
      </c>
    </row>
    <row r="15" spans="1:7" ht="14.25" customHeight="1">
      <c r="A15" s="6" t="s">
        <v>308</v>
      </c>
      <c r="B15" s="7">
        <v>0</v>
      </c>
      <c r="C15" s="132"/>
      <c r="D15" s="131"/>
    </row>
    <row r="16" spans="1:7" ht="14.25" customHeight="1">
      <c r="A16" s="6" t="s">
        <v>246</v>
      </c>
      <c r="B16" s="7">
        <v>0</v>
      </c>
      <c r="C16" s="132"/>
      <c r="D16" s="131"/>
    </row>
    <row r="17" spans="1:27" ht="14.25" customHeight="1">
      <c r="A17" s="6" t="s">
        <v>248</v>
      </c>
      <c r="B17" s="134">
        <v>0</v>
      </c>
      <c r="C17" s="135"/>
      <c r="D17" s="136"/>
    </row>
    <row r="18" spans="1:27" ht="14.25" customHeight="1">
      <c r="A18" s="6" t="s">
        <v>41</v>
      </c>
      <c r="B18" s="137">
        <f>SUM(B9:B17)</f>
        <v>26888</v>
      </c>
      <c r="C18" s="137">
        <f>SUM(C9:C16)</f>
        <v>31550</v>
      </c>
      <c r="D18" s="138"/>
    </row>
    <row r="19" spans="1:27" ht="14.25" customHeight="1">
      <c r="A19" s="6"/>
      <c r="B19" s="137"/>
      <c r="C19" s="137"/>
      <c r="D19" s="138"/>
    </row>
    <row r="20" spans="1:27" ht="14.25" customHeight="1">
      <c r="A20" s="6" t="s">
        <v>43</v>
      </c>
      <c r="B20" s="7"/>
      <c r="C20" s="130"/>
      <c r="D20" s="131"/>
    </row>
    <row r="21" spans="1:27" ht="14.25" customHeight="1">
      <c r="A21" s="6" t="s">
        <v>70</v>
      </c>
      <c r="B21" s="7"/>
      <c r="C21" s="130"/>
      <c r="D21" s="131"/>
    </row>
    <row r="22" spans="1:27" ht="14.25" customHeight="1">
      <c r="A22" s="6" t="s">
        <v>249</v>
      </c>
      <c r="B22" s="7">
        <v>0</v>
      </c>
      <c r="C22" s="130"/>
      <c r="D22" s="131"/>
    </row>
    <row r="23" spans="1:27" ht="14.25" customHeight="1">
      <c r="A23" s="6" t="s">
        <v>323</v>
      </c>
      <c r="B23" s="7">
        <v>1071.6300000000001</v>
      </c>
      <c r="C23" s="130">
        <v>1000</v>
      </c>
      <c r="D23" s="131"/>
    </row>
    <row r="24" spans="1:27" ht="14.25" customHeight="1">
      <c r="A24" s="6" t="s">
        <v>250</v>
      </c>
      <c r="B24" s="7">
        <v>0</v>
      </c>
      <c r="C24" s="130"/>
      <c r="D24" s="131"/>
    </row>
    <row r="25" spans="1:27" ht="14.25" customHeight="1">
      <c r="A25" s="6" t="s">
        <v>251</v>
      </c>
      <c r="B25" s="7">
        <v>0</v>
      </c>
      <c r="C25" s="130"/>
      <c r="D25" s="131"/>
    </row>
    <row r="26" spans="1:27" ht="14.25" customHeight="1">
      <c r="A26" s="6" t="s">
        <v>310</v>
      </c>
      <c r="B26" s="7">
        <v>0</v>
      </c>
      <c r="C26" s="130"/>
      <c r="D26" s="131"/>
    </row>
    <row r="27" spans="1:27" ht="14.25" customHeight="1">
      <c r="A27" s="6" t="s">
        <v>252</v>
      </c>
      <c r="B27" s="7">
        <v>0</v>
      </c>
      <c r="C27" s="130"/>
      <c r="D27" s="131"/>
    </row>
    <row r="28" spans="1:27" ht="14.25" customHeight="1">
      <c r="A28" s="6" t="s">
        <v>253</v>
      </c>
      <c r="B28" s="137">
        <f t="shared" ref="B28:C28" si="0">SUM(B22:B27)</f>
        <v>1071.6300000000001</v>
      </c>
      <c r="C28" s="137">
        <f t="shared" si="0"/>
        <v>1000</v>
      </c>
      <c r="D28" s="138"/>
    </row>
    <row r="29" spans="1:27" ht="14.25" customHeight="1">
      <c r="A29" s="6" t="s">
        <v>81</v>
      </c>
      <c r="B29" s="7"/>
      <c r="C29" s="130"/>
      <c r="D29" s="131"/>
    </row>
    <row r="30" spans="1:27" ht="14.25" customHeight="1">
      <c r="A30" s="6" t="s">
        <v>86</v>
      </c>
      <c r="B30" s="8">
        <v>0</v>
      </c>
      <c r="C30" s="139">
        <v>400</v>
      </c>
      <c r="D30" s="131" t="s">
        <v>324</v>
      </c>
    </row>
    <row r="31" spans="1:27" ht="14.25" customHeight="1">
      <c r="A31" s="6" t="s">
        <v>87</v>
      </c>
      <c r="B31" s="7">
        <v>0</v>
      </c>
      <c r="C31" s="130"/>
      <c r="D31" s="131"/>
    </row>
    <row r="32" spans="1:27" ht="14.25" customHeight="1">
      <c r="A32" s="167" t="s">
        <v>255</v>
      </c>
      <c r="B32" s="168">
        <v>0</v>
      </c>
      <c r="C32" s="34">
        <v>300</v>
      </c>
      <c r="D32" s="141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</row>
    <row r="33" spans="1:4" ht="14.25" customHeight="1">
      <c r="A33" s="6" t="s">
        <v>88</v>
      </c>
      <c r="B33" s="7">
        <v>1669</v>
      </c>
      <c r="C33" s="130">
        <f>500</f>
        <v>500</v>
      </c>
      <c r="D33" s="131"/>
    </row>
    <row r="34" spans="1:4" ht="14.25" customHeight="1">
      <c r="A34" s="6" t="s">
        <v>294</v>
      </c>
      <c r="B34" s="8">
        <v>0</v>
      </c>
      <c r="C34" s="139"/>
      <c r="D34" s="131"/>
    </row>
    <row r="35" spans="1:4" ht="14.25" customHeight="1">
      <c r="A35" s="6" t="s">
        <v>92</v>
      </c>
      <c r="B35" s="7">
        <v>1908.76</v>
      </c>
      <c r="C35" s="130"/>
      <c r="D35" s="131" t="s">
        <v>325</v>
      </c>
    </row>
    <row r="36" spans="1:4" ht="14.25" customHeight="1">
      <c r="A36" s="6" t="s">
        <v>259</v>
      </c>
      <c r="B36" s="7">
        <v>0</v>
      </c>
      <c r="C36" s="130">
        <f>400+1000</f>
        <v>1400</v>
      </c>
      <c r="D36" s="131" t="s">
        <v>326</v>
      </c>
    </row>
    <row r="37" spans="1:4" ht="14.25" customHeight="1">
      <c r="A37" s="6" t="s">
        <v>263</v>
      </c>
      <c r="B37" s="7">
        <v>16550</v>
      </c>
      <c r="C37" s="130">
        <f>7114+4748+4748+3000</f>
        <v>19610</v>
      </c>
      <c r="D37" s="131" t="s">
        <v>327</v>
      </c>
    </row>
    <row r="38" spans="1:4" ht="14.25" customHeight="1">
      <c r="A38" s="6" t="s">
        <v>265</v>
      </c>
      <c r="B38" s="7">
        <v>0</v>
      </c>
      <c r="C38" s="130"/>
      <c r="D38" s="131"/>
    </row>
    <row r="39" spans="1:4" ht="14.25" customHeight="1">
      <c r="A39" s="6" t="s">
        <v>104</v>
      </c>
      <c r="B39" s="7">
        <v>20</v>
      </c>
      <c r="C39" s="130">
        <f>1425+2400+100</f>
        <v>3925</v>
      </c>
      <c r="D39" s="131"/>
    </row>
    <row r="40" spans="1:4" ht="14.25" customHeight="1">
      <c r="A40" s="6" t="s">
        <v>105</v>
      </c>
      <c r="B40" s="7">
        <v>0</v>
      </c>
      <c r="C40" s="130"/>
      <c r="D40" s="131"/>
    </row>
    <row r="41" spans="1:4" ht="14.25" customHeight="1">
      <c r="A41" s="6" t="s">
        <v>107</v>
      </c>
      <c r="B41" s="7">
        <v>0</v>
      </c>
      <c r="C41" s="130"/>
      <c r="D41" s="131" t="s">
        <v>268</v>
      </c>
    </row>
    <row r="42" spans="1:4" ht="14.25" customHeight="1">
      <c r="A42" s="6" t="s">
        <v>108</v>
      </c>
      <c r="B42" s="7">
        <v>0</v>
      </c>
      <c r="C42" s="130"/>
      <c r="D42" s="131"/>
    </row>
    <row r="43" spans="1:4" ht="14.25" customHeight="1">
      <c r="A43" s="6" t="s">
        <v>109</v>
      </c>
      <c r="B43" s="137">
        <f t="shared" ref="B43:C43" si="1">SUM(B29:B42)</f>
        <v>20147.760000000002</v>
      </c>
      <c r="C43" s="137">
        <f t="shared" si="1"/>
        <v>26135</v>
      </c>
      <c r="D43" s="138"/>
    </row>
    <row r="44" spans="1:4" ht="14.25" customHeight="1">
      <c r="A44" s="6" t="s">
        <v>110</v>
      </c>
      <c r="B44" s="137">
        <f t="shared" ref="B44:C44" si="2">B43+B28</f>
        <v>21219.390000000003</v>
      </c>
      <c r="C44" s="137">
        <f t="shared" si="2"/>
        <v>27135</v>
      </c>
      <c r="D44" s="138"/>
    </row>
    <row r="45" spans="1:4" ht="14.25" customHeight="1">
      <c r="A45" s="6"/>
      <c r="B45" s="137"/>
      <c r="C45" s="137"/>
      <c r="D45" s="138"/>
    </row>
    <row r="46" spans="1:4" ht="14.25" customHeight="1">
      <c r="A46" s="6" t="s">
        <v>270</v>
      </c>
      <c r="B46" s="7"/>
      <c r="C46" s="130"/>
      <c r="D46" s="131"/>
    </row>
    <row r="47" spans="1:4" ht="14.25" customHeight="1">
      <c r="A47" s="6" t="s">
        <v>271</v>
      </c>
      <c r="B47" s="7">
        <v>0</v>
      </c>
      <c r="C47" s="130"/>
    </row>
    <row r="48" spans="1:4" ht="14.25" customHeight="1">
      <c r="A48" s="6" t="s">
        <v>272</v>
      </c>
      <c r="B48" s="147">
        <v>19052.25</v>
      </c>
      <c r="C48" s="130"/>
      <c r="D48" s="131"/>
    </row>
    <row r="49" spans="1:4" ht="14.25" customHeight="1">
      <c r="A49" s="6" t="s">
        <v>116</v>
      </c>
      <c r="B49" s="137">
        <f>(B47)+(B48)+B46</f>
        <v>19052.25</v>
      </c>
      <c r="C49" s="137">
        <f>(C47)+(C48)</f>
        <v>0</v>
      </c>
      <c r="D49" s="138"/>
    </row>
    <row r="50" spans="1:4" ht="14.25" customHeight="1">
      <c r="A50" s="6" t="s">
        <v>273</v>
      </c>
      <c r="B50" s="7"/>
      <c r="C50" s="130"/>
      <c r="D50" s="131"/>
    </row>
    <row r="51" spans="1:4" ht="14.25" customHeight="1">
      <c r="A51" s="6" t="s">
        <v>274</v>
      </c>
      <c r="B51" s="7">
        <v>477.98</v>
      </c>
      <c r="C51" s="130"/>
      <c r="D51" s="131" t="s">
        <v>275</v>
      </c>
    </row>
    <row r="52" spans="1:4" ht="14.25" customHeight="1">
      <c r="A52" s="6" t="s">
        <v>276</v>
      </c>
      <c r="B52" s="147">
        <v>20241.79</v>
      </c>
      <c r="C52" s="130">
        <f>1500+900</f>
        <v>2400</v>
      </c>
      <c r="D52" s="131"/>
    </row>
    <row r="53" spans="1:4" ht="14.25" customHeight="1">
      <c r="A53" s="6" t="s">
        <v>277</v>
      </c>
      <c r="B53" s="137">
        <f t="shared" ref="B53:C53" si="3">(B51)+(B52)</f>
        <v>20719.77</v>
      </c>
      <c r="C53" s="137">
        <f t="shared" si="3"/>
        <v>2400</v>
      </c>
      <c r="D53" s="138"/>
    </row>
    <row r="54" spans="1:4" ht="14.25" customHeight="1">
      <c r="A54" s="6" t="s">
        <v>278</v>
      </c>
      <c r="B54" s="137">
        <f t="shared" ref="B54:C54" si="4">B49-B53</f>
        <v>-1667.5200000000004</v>
      </c>
      <c r="C54" s="137">
        <f t="shared" si="4"/>
        <v>-2400</v>
      </c>
      <c r="D54" s="138"/>
    </row>
    <row r="55" spans="1:4" ht="14.25" customHeight="1">
      <c r="A55" s="6" t="s">
        <v>279</v>
      </c>
      <c r="B55" s="137">
        <f t="shared" ref="B55:C55" si="5">B18-B44+B54</f>
        <v>4001.0899999999965</v>
      </c>
      <c r="C55" s="137">
        <f t="shared" si="5"/>
        <v>2015</v>
      </c>
      <c r="D55" s="138"/>
    </row>
    <row r="56" spans="1:4" ht="14.25" customHeight="1">
      <c r="A56" s="6"/>
      <c r="B56" s="7"/>
      <c r="C56" s="130"/>
      <c r="D56" s="131"/>
    </row>
    <row r="57" spans="1:4" ht="14.25" customHeight="1">
      <c r="A57" s="24" t="s">
        <v>282</v>
      </c>
      <c r="B57" s="15"/>
      <c r="C57" s="148">
        <f>C55</f>
        <v>2015</v>
      </c>
      <c r="D57" s="149"/>
    </row>
    <row r="58" spans="1:4" ht="14.25" customHeight="1">
      <c r="A58" s="24" t="s">
        <v>328</v>
      </c>
      <c r="B58" s="15"/>
      <c r="C58" s="42"/>
      <c r="D58" s="149"/>
    </row>
    <row r="59" spans="1:4" ht="14.25" customHeight="1">
      <c r="A59" s="24" t="s">
        <v>329</v>
      </c>
      <c r="B59" s="15"/>
      <c r="C59" s="42"/>
      <c r="D59" s="149"/>
    </row>
    <row r="60" spans="1:4" ht="14.25" customHeight="1">
      <c r="B60" s="15"/>
      <c r="C60" s="122"/>
      <c r="D60" s="149"/>
    </row>
    <row r="61" spans="1:4" ht="14.25" customHeight="1">
      <c r="A61" s="150" t="s">
        <v>283</v>
      </c>
      <c r="B61" s="151"/>
      <c r="C61" s="152"/>
      <c r="D61" s="153"/>
    </row>
    <row r="62" spans="1:4" ht="14.25" customHeight="1">
      <c r="A62" s="154" t="s">
        <v>330</v>
      </c>
      <c r="B62" s="17"/>
      <c r="C62" s="155">
        <v>3557</v>
      </c>
      <c r="D62" s="153"/>
    </row>
    <row r="63" spans="1:4" ht="14.25" customHeight="1">
      <c r="A63" s="154" t="s">
        <v>229</v>
      </c>
      <c r="B63" s="17"/>
      <c r="C63" s="155">
        <v>2969</v>
      </c>
      <c r="D63" s="153"/>
    </row>
    <row r="64" spans="1:4" ht="14.25" customHeight="1">
      <c r="A64" s="156" t="s">
        <v>284</v>
      </c>
      <c r="B64" s="157"/>
      <c r="C64" s="158">
        <v>2374</v>
      </c>
      <c r="D64" s="153"/>
    </row>
    <row r="65" spans="2:4" ht="14.25" customHeight="1">
      <c r="B65" s="15"/>
      <c r="C65" s="40"/>
      <c r="D65" s="149"/>
    </row>
    <row r="66" spans="2:4" ht="14.25" customHeight="1">
      <c r="D66" s="109"/>
    </row>
    <row r="67" spans="2:4" ht="14.25" customHeight="1">
      <c r="D67" s="109"/>
    </row>
    <row r="68" spans="2:4" ht="14.25" customHeight="1">
      <c r="D68" s="109"/>
    </row>
    <row r="69" spans="2:4" ht="14.25" customHeight="1">
      <c r="D69" s="109"/>
    </row>
    <row r="70" spans="2:4" ht="14.25" customHeight="1">
      <c r="D70" s="109"/>
    </row>
    <row r="71" spans="2:4" ht="14.25" customHeight="1">
      <c r="D71" s="109"/>
    </row>
    <row r="72" spans="2:4" ht="14.25" customHeight="1">
      <c r="D72" s="109"/>
    </row>
    <row r="73" spans="2:4" ht="14.25" customHeight="1">
      <c r="D73" s="109"/>
    </row>
    <row r="74" spans="2:4" ht="14.25" customHeight="1">
      <c r="D74" s="109"/>
    </row>
    <row r="75" spans="2:4" ht="14.25" customHeight="1">
      <c r="D75" s="109"/>
    </row>
    <row r="76" spans="2:4" ht="14.25" customHeight="1">
      <c r="D76" s="109"/>
    </row>
    <row r="77" spans="2:4" ht="14.25" customHeight="1">
      <c r="D77" s="109"/>
    </row>
    <row r="78" spans="2:4" ht="14.25" customHeight="1">
      <c r="D78" s="109"/>
    </row>
    <row r="79" spans="2:4" ht="14.25" customHeight="1">
      <c r="D79" s="109"/>
    </row>
    <row r="80" spans="2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/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</sheetData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979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2" width="12" customWidth="1"/>
    <col min="3" max="3" width="16" customWidth="1"/>
    <col min="4" max="4" width="54.42578125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173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v>943.95</v>
      </c>
      <c r="C2" s="15"/>
      <c r="D2" s="115" t="s">
        <v>331</v>
      </c>
      <c r="E2" s="116" t="s">
        <v>229</v>
      </c>
      <c r="F2" s="117">
        <v>61</v>
      </c>
      <c r="G2" s="118" t="s">
        <v>332</v>
      </c>
    </row>
    <row r="3" spans="1:7" ht="14.25" customHeight="1">
      <c r="B3" s="108"/>
      <c r="C3" s="15"/>
      <c r="D3" s="115" t="s">
        <v>333</v>
      </c>
      <c r="E3" s="116"/>
      <c r="F3" s="120"/>
      <c r="G3" s="118"/>
    </row>
    <row r="4" spans="1:7" ht="14.25" customHeight="1">
      <c r="B4" s="108"/>
      <c r="C4" s="15"/>
      <c r="D4" s="160" t="s">
        <v>288</v>
      </c>
      <c r="E4" s="116" t="s">
        <v>233</v>
      </c>
      <c r="F4" s="117">
        <f>F2+F3</f>
        <v>61</v>
      </c>
      <c r="G4" s="118"/>
    </row>
    <row r="5" spans="1:7" ht="14.25" customHeight="1">
      <c r="B5" s="108"/>
      <c r="C5" s="15"/>
      <c r="D5" s="115" t="s">
        <v>334</v>
      </c>
      <c r="E5" s="116"/>
      <c r="G5" s="118"/>
    </row>
    <row r="6" spans="1:7" ht="14.25" customHeight="1">
      <c r="B6" s="121"/>
      <c r="C6" s="171"/>
      <c r="D6" s="162" t="s">
        <v>335</v>
      </c>
      <c r="E6" s="124" t="s">
        <v>234</v>
      </c>
      <c r="F6" s="125">
        <v>9</v>
      </c>
      <c r="G6" s="126" t="s">
        <v>336</v>
      </c>
    </row>
    <row r="7" spans="1:7" ht="14.25" customHeight="1">
      <c r="A7" s="4"/>
      <c r="B7" s="127" t="s">
        <v>236</v>
      </c>
      <c r="C7" s="128" t="s">
        <v>237</v>
      </c>
      <c r="D7" s="129" t="s">
        <v>5</v>
      </c>
    </row>
    <row r="8" spans="1:7" ht="14.25" customHeight="1">
      <c r="A8" s="6" t="s">
        <v>6</v>
      </c>
      <c r="B8" s="7"/>
      <c r="C8" s="130"/>
      <c r="D8" s="131"/>
    </row>
    <row r="9" spans="1:7" ht="14.25" customHeight="1">
      <c r="A9" s="6" t="s">
        <v>7</v>
      </c>
      <c r="B9" s="7">
        <v>1000</v>
      </c>
      <c r="C9" s="132">
        <v>1000</v>
      </c>
      <c r="D9" s="131" t="s">
        <v>337</v>
      </c>
    </row>
    <row r="10" spans="1:7" ht="14.25" customHeight="1">
      <c r="A10" s="6" t="s">
        <v>239</v>
      </c>
      <c r="B10" s="7"/>
      <c r="C10" s="130"/>
      <c r="D10" s="131"/>
    </row>
    <row r="11" spans="1:7" ht="14.25" customHeight="1">
      <c r="A11" s="6" t="s">
        <v>241</v>
      </c>
      <c r="B11" s="7"/>
      <c r="C11" s="130"/>
      <c r="D11" s="131" t="s">
        <v>242</v>
      </c>
    </row>
    <row r="12" spans="1:7" ht="14.25" customHeight="1">
      <c r="A12" s="6" t="s">
        <v>243</v>
      </c>
      <c r="B12" s="7"/>
      <c r="C12" s="130"/>
      <c r="D12" s="131"/>
    </row>
    <row r="13" spans="1:7" ht="14.25" customHeight="1">
      <c r="A13" s="6" t="s">
        <v>37</v>
      </c>
      <c r="B13" s="7"/>
      <c r="C13" s="132"/>
      <c r="D13" s="131"/>
    </row>
    <row r="14" spans="1:7" ht="14.25" customHeight="1">
      <c r="A14" s="6" t="s">
        <v>308</v>
      </c>
      <c r="B14" s="7"/>
      <c r="C14" s="132"/>
      <c r="D14" s="131"/>
    </row>
    <row r="15" spans="1:7" ht="14.25" customHeight="1">
      <c r="A15" s="6" t="s">
        <v>246</v>
      </c>
      <c r="B15" s="7"/>
      <c r="C15" s="132"/>
      <c r="D15" s="131" t="s">
        <v>247</v>
      </c>
    </row>
    <row r="16" spans="1:7" ht="14.25" customHeight="1">
      <c r="A16" s="6" t="s">
        <v>248</v>
      </c>
      <c r="B16" s="134"/>
      <c r="C16" s="180">
        <v>2000</v>
      </c>
      <c r="D16" s="181" t="s">
        <v>338</v>
      </c>
    </row>
    <row r="17" spans="1:27" ht="14.25" customHeight="1">
      <c r="A17" s="6" t="s">
        <v>41</v>
      </c>
      <c r="B17" s="137">
        <f>SUM(B9:B15)</f>
        <v>1000</v>
      </c>
      <c r="C17" s="137">
        <f>SUM(C9:C16)</f>
        <v>3000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/>
      <c r="D21" s="131"/>
    </row>
    <row r="22" spans="1:27" ht="14.25" customHeight="1">
      <c r="A22" s="6" t="s">
        <v>250</v>
      </c>
      <c r="B22" s="7">
        <v>0</v>
      </c>
      <c r="C22" s="130"/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/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0">SUM(B21:B25)</f>
        <v>0</v>
      </c>
      <c r="C26" s="137">
        <f t="shared" si="0"/>
        <v>0</v>
      </c>
      <c r="D26" s="138"/>
    </row>
    <row r="27" spans="1:27" ht="14.25" customHeight="1">
      <c r="A27" s="6" t="s">
        <v>81</v>
      </c>
      <c r="B27" s="7"/>
      <c r="C27" s="130"/>
      <c r="D27" s="131"/>
    </row>
    <row r="28" spans="1:27" ht="14.25" customHeight="1">
      <c r="A28" s="6" t="s">
        <v>86</v>
      </c>
      <c r="B28" s="8">
        <v>0</v>
      </c>
      <c r="C28" s="139"/>
      <c r="D28" s="131"/>
    </row>
    <row r="29" spans="1:27" ht="14.25" customHeight="1">
      <c r="A29" s="6" t="s">
        <v>49</v>
      </c>
      <c r="B29" s="7"/>
      <c r="C29" s="130"/>
      <c r="D29" s="174" t="s">
        <v>339</v>
      </c>
    </row>
    <row r="30" spans="1:27" ht="14.25" customHeight="1">
      <c r="A30" s="6" t="s">
        <v>87</v>
      </c>
      <c r="B30" s="7">
        <v>0</v>
      </c>
      <c r="C30" s="130"/>
      <c r="D30" s="131"/>
    </row>
    <row r="31" spans="1:27" ht="14.25" customHeight="1">
      <c r="A31" s="167" t="s">
        <v>255</v>
      </c>
      <c r="B31" s="168">
        <v>0</v>
      </c>
      <c r="C31" s="168">
        <v>150</v>
      </c>
      <c r="D31" s="141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</row>
    <row r="32" spans="1:27" ht="14.25" customHeight="1">
      <c r="A32" s="6" t="s">
        <v>88</v>
      </c>
      <c r="B32" s="7">
        <v>249.99</v>
      </c>
      <c r="C32" s="130">
        <v>300</v>
      </c>
      <c r="D32" s="131"/>
    </row>
    <row r="33" spans="1:4" ht="14.25" customHeight="1">
      <c r="A33" s="6" t="s">
        <v>294</v>
      </c>
      <c r="B33" s="8">
        <v>0</v>
      </c>
      <c r="C33" s="139"/>
      <c r="D33" s="131"/>
    </row>
    <row r="34" spans="1:4" ht="14.25" customHeight="1">
      <c r="A34" s="6" t="s">
        <v>92</v>
      </c>
      <c r="B34" s="7">
        <v>0</v>
      </c>
      <c r="C34" s="130">
        <f>250+125</f>
        <v>375</v>
      </c>
      <c r="D34" s="131" t="s">
        <v>340</v>
      </c>
    </row>
    <row r="35" spans="1:4" ht="14.25" customHeight="1">
      <c r="A35" s="6" t="s">
        <v>259</v>
      </c>
      <c r="B35" s="7">
        <v>0</v>
      </c>
      <c r="C35" s="130"/>
      <c r="D35" s="131" t="s">
        <v>260</v>
      </c>
    </row>
    <row r="36" spans="1:4" ht="14.25" customHeight="1">
      <c r="A36" s="6" t="s">
        <v>261</v>
      </c>
      <c r="B36" s="7"/>
      <c r="C36" s="130">
        <f>35*F6</f>
        <v>315</v>
      </c>
      <c r="D36" s="131" t="s">
        <v>262</v>
      </c>
    </row>
    <row r="37" spans="1:4" ht="14.25" customHeight="1">
      <c r="A37" s="6" t="s">
        <v>263</v>
      </c>
      <c r="B37" s="7">
        <v>0</v>
      </c>
      <c r="C37" s="130">
        <f>C66</f>
        <v>2374</v>
      </c>
      <c r="D37" s="131" t="s">
        <v>341</v>
      </c>
    </row>
    <row r="38" spans="1:4" ht="14.25" customHeight="1">
      <c r="A38" s="6" t="s">
        <v>296</v>
      </c>
      <c r="B38" s="7"/>
      <c r="C38" s="130"/>
      <c r="D38" s="174" t="s">
        <v>339</v>
      </c>
    </row>
    <row r="39" spans="1:4" ht="14.25" customHeight="1">
      <c r="A39" s="6" t="s">
        <v>265</v>
      </c>
      <c r="B39" s="7">
        <v>0</v>
      </c>
      <c r="C39" s="130"/>
      <c r="D39" s="131"/>
    </row>
    <row r="40" spans="1:4" ht="14.25" customHeight="1">
      <c r="A40" s="6" t="s">
        <v>104</v>
      </c>
      <c r="B40" s="7">
        <v>0</v>
      </c>
      <c r="C40" s="130"/>
      <c r="D40" s="131"/>
    </row>
    <row r="41" spans="1:4" ht="14.25" customHeight="1">
      <c r="A41" s="6" t="s">
        <v>105</v>
      </c>
      <c r="B41" s="7">
        <v>0</v>
      </c>
      <c r="C41" s="130"/>
      <c r="D41" s="131"/>
    </row>
    <row r="42" spans="1:4" ht="14.25" customHeight="1">
      <c r="A42" s="6" t="s">
        <v>107</v>
      </c>
      <c r="B42" s="7">
        <v>0</v>
      </c>
      <c r="C42" s="130"/>
      <c r="D42" s="131" t="s">
        <v>268</v>
      </c>
    </row>
    <row r="43" spans="1:4" ht="14.25" customHeight="1">
      <c r="A43" s="6" t="s">
        <v>108</v>
      </c>
      <c r="B43" s="7">
        <v>2136.15</v>
      </c>
      <c r="C43" s="130">
        <v>2000</v>
      </c>
      <c r="D43" s="131"/>
    </row>
    <row r="44" spans="1:4" ht="14.25" customHeight="1">
      <c r="A44" s="6" t="s">
        <v>109</v>
      </c>
      <c r="B44" s="137">
        <f t="shared" ref="B44:C44" si="1">SUM(B27:B43)</f>
        <v>2386.1400000000003</v>
      </c>
      <c r="C44" s="137">
        <f t="shared" si="1"/>
        <v>5514</v>
      </c>
      <c r="D44" s="138"/>
    </row>
    <row r="45" spans="1:4" ht="14.25" customHeight="1">
      <c r="A45" s="6" t="s">
        <v>110</v>
      </c>
      <c r="B45" s="137">
        <f t="shared" ref="B45:C45" si="2">B44+B26</f>
        <v>2386.1400000000003</v>
      </c>
      <c r="C45" s="137">
        <f t="shared" si="2"/>
        <v>5514</v>
      </c>
      <c r="D45" s="138"/>
    </row>
    <row r="46" spans="1:4" ht="14.25" customHeight="1">
      <c r="A46" s="6"/>
      <c r="B46" s="137"/>
      <c r="C46" s="137"/>
      <c r="D46" s="138"/>
    </row>
    <row r="47" spans="1:4" ht="14.25" customHeight="1">
      <c r="A47" s="6" t="s">
        <v>270</v>
      </c>
      <c r="B47" s="7"/>
      <c r="C47" s="130"/>
      <c r="D47" s="131"/>
    </row>
    <row r="48" spans="1:4" ht="14.25" customHeight="1">
      <c r="A48" s="6" t="s">
        <v>271</v>
      </c>
      <c r="B48" s="7">
        <v>570</v>
      </c>
      <c r="C48" s="130"/>
    </row>
    <row r="49" spans="1:4" ht="14.25" customHeight="1">
      <c r="A49" s="6" t="s">
        <v>272</v>
      </c>
      <c r="B49" s="147">
        <v>12150</v>
      </c>
      <c r="C49" s="130">
        <v>11600</v>
      </c>
      <c r="D49" s="131"/>
    </row>
    <row r="50" spans="1:4" ht="14.25" customHeight="1">
      <c r="A50" s="6" t="s">
        <v>116</v>
      </c>
      <c r="B50" s="137">
        <f>(B48)+(B49)+B47</f>
        <v>12720</v>
      </c>
      <c r="C50" s="137">
        <f>(C48)+(C49)</f>
        <v>11600</v>
      </c>
      <c r="D50" s="138"/>
    </row>
    <row r="51" spans="1:4" ht="14.25" customHeight="1">
      <c r="A51" s="6" t="s">
        <v>273</v>
      </c>
      <c r="B51" s="7">
        <v>0</v>
      </c>
      <c r="C51" s="130"/>
      <c r="D51" s="131"/>
    </row>
    <row r="52" spans="1:4" ht="14.25" customHeight="1">
      <c r="A52" s="6" t="s">
        <v>274</v>
      </c>
      <c r="B52" s="7">
        <v>0</v>
      </c>
      <c r="C52" s="130"/>
      <c r="D52" s="131" t="s">
        <v>275</v>
      </c>
    </row>
    <row r="53" spans="1:4" ht="14.25" customHeight="1">
      <c r="A53" s="6" t="s">
        <v>276</v>
      </c>
      <c r="B53" s="147">
        <v>15237.1</v>
      </c>
      <c r="C53" s="130">
        <v>11600</v>
      </c>
      <c r="D53" s="131"/>
    </row>
    <row r="54" spans="1:4" ht="14.25" customHeight="1">
      <c r="A54" s="6" t="s">
        <v>277</v>
      </c>
      <c r="B54" s="137">
        <f t="shared" ref="B54:C54" si="3">(B52)+(B53)</f>
        <v>15237.1</v>
      </c>
      <c r="C54" s="137">
        <f t="shared" si="3"/>
        <v>11600</v>
      </c>
      <c r="D54" s="138"/>
    </row>
    <row r="55" spans="1:4" ht="14.25" customHeight="1">
      <c r="A55" s="6" t="s">
        <v>278</v>
      </c>
      <c r="B55" s="137">
        <f t="shared" ref="B55:C55" si="4">B50-B54</f>
        <v>-2517.1000000000004</v>
      </c>
      <c r="C55" s="137">
        <f t="shared" si="4"/>
        <v>0</v>
      </c>
      <c r="D55" s="138"/>
    </row>
    <row r="56" spans="1:4" ht="14.25" customHeight="1">
      <c r="A56" s="6" t="s">
        <v>279</v>
      </c>
      <c r="B56" s="137">
        <f t="shared" ref="B56:C56" si="5">B17-B45+B55</f>
        <v>-3903.2400000000007</v>
      </c>
      <c r="C56" s="137">
        <f t="shared" si="5"/>
        <v>-2514</v>
      </c>
      <c r="D56" s="138"/>
    </row>
    <row r="57" spans="1:4" ht="14.25" customHeight="1">
      <c r="A57" s="6"/>
      <c r="B57" s="7"/>
      <c r="C57" s="130"/>
      <c r="D57" s="131"/>
    </row>
    <row r="58" spans="1:4" ht="14.25" customHeight="1">
      <c r="A58" s="24" t="s">
        <v>280</v>
      </c>
      <c r="B58" s="15"/>
      <c r="C58" s="148">
        <f>C37+C36</f>
        <v>2689</v>
      </c>
      <c r="D58" s="149" t="s">
        <v>342</v>
      </c>
    </row>
    <row r="59" spans="1:4" ht="14.25" customHeight="1">
      <c r="A59" s="24" t="s">
        <v>343</v>
      </c>
      <c r="B59" s="15"/>
      <c r="C59" s="148">
        <f>C56+C58</f>
        <v>175</v>
      </c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42"/>
      <c r="D61" s="149"/>
    </row>
    <row r="62" spans="1:4" ht="14.25" customHeight="1">
      <c r="B62" s="15"/>
      <c r="C62" s="42"/>
      <c r="D62" s="149"/>
    </row>
    <row r="63" spans="1:4" ht="14.25" customHeight="1">
      <c r="B63" s="15"/>
      <c r="C63" s="42"/>
      <c r="D63" s="149"/>
    </row>
    <row r="64" spans="1:4" ht="14.25" customHeight="1">
      <c r="A64" s="6" t="s">
        <v>283</v>
      </c>
      <c r="B64" s="15"/>
      <c r="C64" s="42"/>
      <c r="D64" s="149"/>
    </row>
    <row r="65" spans="1:4" ht="14.25" customHeight="1">
      <c r="A65" s="6" t="s">
        <v>229</v>
      </c>
      <c r="B65" s="17"/>
      <c r="C65" s="148">
        <v>2969</v>
      </c>
      <c r="D65" s="149"/>
    </row>
    <row r="66" spans="1:4" ht="14.25" customHeight="1">
      <c r="A66" s="6" t="s">
        <v>284</v>
      </c>
      <c r="B66" s="17"/>
      <c r="C66" s="148">
        <v>2374</v>
      </c>
      <c r="D66" s="149"/>
    </row>
    <row r="67" spans="1:4" ht="14.25" customHeight="1">
      <c r="B67" s="15"/>
      <c r="C67" s="42"/>
      <c r="D67" s="149"/>
    </row>
    <row r="68" spans="1:4" ht="14.25" customHeight="1">
      <c r="D68" s="109"/>
    </row>
    <row r="69" spans="1:4" ht="14.25" customHeight="1">
      <c r="D69" s="109"/>
    </row>
    <row r="70" spans="1:4" ht="14.25" customHeight="1">
      <c r="D70" s="109"/>
    </row>
    <row r="71" spans="1:4" ht="14.25" customHeight="1">
      <c r="D71" s="109"/>
    </row>
    <row r="72" spans="1:4" ht="14.25" customHeight="1">
      <c r="D72" s="109"/>
    </row>
    <row r="73" spans="1:4" ht="14.25" customHeight="1">
      <c r="D73" s="109"/>
    </row>
    <row r="74" spans="1:4" ht="14.25" customHeight="1">
      <c r="D74" s="109"/>
    </row>
    <row r="75" spans="1:4" ht="14.25" customHeight="1">
      <c r="D75" s="109"/>
    </row>
    <row r="76" spans="1:4" ht="14.25" customHeight="1">
      <c r="D76" s="109"/>
    </row>
    <row r="77" spans="1:4" ht="14.25" customHeight="1">
      <c r="D77" s="109"/>
    </row>
    <row r="78" spans="1:4" ht="14.25" customHeight="1">
      <c r="D78" s="109"/>
    </row>
    <row r="79" spans="1:4" ht="14.25" customHeight="1">
      <c r="D79" s="109"/>
    </row>
    <row r="80" spans="1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>
      <c r="D967" s="109"/>
    </row>
    <row r="968" spans="4:4" ht="14.25" customHeight="1">
      <c r="D968" s="109"/>
    </row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  <row r="978" ht="14.25" customHeight="1"/>
    <row r="979" ht="14.25" customHeight="1"/>
  </sheetData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978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2" width="12" customWidth="1"/>
    <col min="3" max="3" width="16" customWidth="1"/>
    <col min="4" max="4" width="77" customWidth="1"/>
    <col min="5" max="5" width="10.28515625" customWidth="1"/>
    <col min="6" max="6" width="8.7109375" customWidth="1"/>
    <col min="7" max="7" width="18" customWidth="1"/>
    <col min="8" max="27" width="8.7109375" customWidth="1"/>
  </cols>
  <sheetData>
    <row r="1" spans="1:7" ht="14.25" customHeight="1">
      <c r="A1" s="110" t="s">
        <v>344</v>
      </c>
      <c r="B1" s="108"/>
      <c r="C1" s="15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v>3126.91</v>
      </c>
      <c r="C2" s="15"/>
      <c r="D2" s="115" t="s">
        <v>345</v>
      </c>
      <c r="E2" s="116" t="s">
        <v>229</v>
      </c>
      <c r="F2" s="117">
        <v>25</v>
      </c>
      <c r="G2" s="118" t="s">
        <v>230</v>
      </c>
    </row>
    <row r="3" spans="1:7" ht="14.25" customHeight="1">
      <c r="B3" s="108"/>
      <c r="C3" s="15"/>
      <c r="D3" s="115" t="s">
        <v>346</v>
      </c>
      <c r="E3" s="116" t="s">
        <v>347</v>
      </c>
      <c r="F3" s="120">
        <v>25</v>
      </c>
      <c r="G3" s="118" t="s">
        <v>230</v>
      </c>
    </row>
    <row r="4" spans="1:7" ht="14.25" customHeight="1">
      <c r="B4" s="108"/>
      <c r="C4" s="15"/>
      <c r="D4" s="119"/>
      <c r="E4" s="116" t="s">
        <v>233</v>
      </c>
      <c r="F4" s="117">
        <f>F2+F3</f>
        <v>50</v>
      </c>
      <c r="G4" s="118"/>
    </row>
    <row r="5" spans="1:7" ht="14.25" customHeight="1">
      <c r="B5" s="108"/>
      <c r="C5" s="15"/>
      <c r="D5" s="109"/>
      <c r="E5" s="116"/>
      <c r="G5" s="118"/>
    </row>
    <row r="6" spans="1:7" ht="14.25" customHeight="1">
      <c r="B6" s="121"/>
      <c r="C6" s="42"/>
      <c r="D6" s="182"/>
      <c r="E6" s="124" t="s">
        <v>234</v>
      </c>
      <c r="F6" s="125">
        <v>13</v>
      </c>
      <c r="G6" s="126" t="s">
        <v>235</v>
      </c>
    </row>
    <row r="7" spans="1:7" ht="14.25" customHeight="1">
      <c r="A7" s="4"/>
      <c r="B7" s="163" t="s">
        <v>236</v>
      </c>
      <c r="C7" s="164" t="s">
        <v>237</v>
      </c>
      <c r="D7" s="183" t="s">
        <v>5</v>
      </c>
    </row>
    <row r="8" spans="1:7" ht="14.25" customHeight="1">
      <c r="A8" s="6" t="s">
        <v>6</v>
      </c>
      <c r="B8" s="7"/>
      <c r="C8" s="130"/>
      <c r="D8" s="131"/>
    </row>
    <row r="9" spans="1:7" ht="14.25" customHeight="1">
      <c r="A9" s="6" t="s">
        <v>7</v>
      </c>
      <c r="B9" s="7">
        <v>100</v>
      </c>
      <c r="C9" s="132"/>
      <c r="D9" s="131" t="s">
        <v>348</v>
      </c>
    </row>
    <row r="10" spans="1:7" ht="14.25" customHeight="1">
      <c r="A10" s="6" t="s">
        <v>239</v>
      </c>
      <c r="B10" s="7"/>
      <c r="C10" s="130"/>
      <c r="D10" s="131"/>
    </row>
    <row r="11" spans="1:7" ht="14.25" customHeight="1">
      <c r="A11" s="6" t="s">
        <v>241</v>
      </c>
      <c r="B11" s="7"/>
      <c r="C11" s="130"/>
      <c r="D11" s="131" t="s">
        <v>242</v>
      </c>
    </row>
    <row r="12" spans="1:7" ht="14.25" customHeight="1">
      <c r="A12" s="6" t="s">
        <v>243</v>
      </c>
      <c r="B12" s="7"/>
      <c r="C12" s="130"/>
      <c r="D12" s="131"/>
    </row>
    <row r="13" spans="1:7" ht="14.25" customHeight="1">
      <c r="A13" s="6" t="s">
        <v>37</v>
      </c>
      <c r="B13" s="7"/>
      <c r="C13" s="132"/>
      <c r="D13" s="131"/>
    </row>
    <row r="14" spans="1:7" ht="14.25" customHeight="1">
      <c r="A14" s="6" t="s">
        <v>308</v>
      </c>
      <c r="B14" s="7"/>
      <c r="C14" s="132"/>
      <c r="D14" s="131"/>
    </row>
    <row r="15" spans="1:7" ht="14.25" customHeight="1">
      <c r="A15" s="6" t="s">
        <v>246</v>
      </c>
      <c r="B15" s="7">
        <v>4238.3999999999996</v>
      </c>
      <c r="C15" s="132"/>
      <c r="D15" s="131" t="s">
        <v>247</v>
      </c>
    </row>
    <row r="16" spans="1:7" ht="14.25" customHeight="1">
      <c r="A16" s="6" t="s">
        <v>248</v>
      </c>
      <c r="B16" s="134"/>
      <c r="C16" s="180">
        <v>1500</v>
      </c>
      <c r="D16" s="181" t="s">
        <v>338</v>
      </c>
    </row>
    <row r="17" spans="1:27" ht="14.25" customHeight="1">
      <c r="A17" s="6" t="s">
        <v>41</v>
      </c>
      <c r="B17" s="137">
        <f>SUM(B9:B15)</f>
        <v>4338.3999999999996</v>
      </c>
      <c r="C17" s="137">
        <f>SUM(C9:C16)</f>
        <v>1500</v>
      </c>
      <c r="D17" s="138"/>
    </row>
    <row r="18" spans="1:27" ht="14.25" customHeight="1">
      <c r="A18" s="6"/>
      <c r="B18" s="137"/>
      <c r="C18" s="137"/>
      <c r="D18" s="138"/>
    </row>
    <row r="19" spans="1:27" ht="14.25" customHeight="1">
      <c r="A19" s="6" t="s">
        <v>43</v>
      </c>
      <c r="B19" s="7"/>
      <c r="C19" s="130"/>
      <c r="D19" s="131"/>
    </row>
    <row r="20" spans="1:27" ht="14.25" customHeight="1">
      <c r="A20" s="6" t="s">
        <v>70</v>
      </c>
      <c r="B20" s="7"/>
      <c r="C20" s="130"/>
      <c r="D20" s="131"/>
    </row>
    <row r="21" spans="1:27" ht="14.25" customHeight="1">
      <c r="A21" s="6" t="s">
        <v>249</v>
      </c>
      <c r="B21" s="7">
        <v>0</v>
      </c>
      <c r="C21" s="130"/>
      <c r="D21" s="131"/>
    </row>
    <row r="22" spans="1:27" ht="14.25" customHeight="1">
      <c r="A22" s="6" t="s">
        <v>250</v>
      </c>
      <c r="B22" s="7">
        <v>0</v>
      </c>
      <c r="C22" s="130">
        <v>500</v>
      </c>
      <c r="D22" s="131"/>
    </row>
    <row r="23" spans="1:27" ht="14.25" customHeight="1">
      <c r="A23" s="6" t="s">
        <v>251</v>
      </c>
      <c r="B23" s="7">
        <v>0</v>
      </c>
      <c r="C23" s="130"/>
      <c r="D23" s="131"/>
    </row>
    <row r="24" spans="1:27" ht="14.25" customHeight="1">
      <c r="A24" s="6" t="s">
        <v>310</v>
      </c>
      <c r="B24" s="7">
        <v>0</v>
      </c>
      <c r="C24" s="130"/>
      <c r="D24" s="131"/>
    </row>
    <row r="25" spans="1:27" ht="14.25" customHeight="1">
      <c r="A25" s="6" t="s">
        <v>252</v>
      </c>
      <c r="B25" s="7">
        <v>0</v>
      </c>
      <c r="C25" s="130"/>
      <c r="D25" s="131"/>
    </row>
    <row r="26" spans="1:27" ht="14.25" customHeight="1">
      <c r="A26" s="6" t="s">
        <v>253</v>
      </c>
      <c r="B26" s="137">
        <f t="shared" ref="B26:C26" si="0">SUM(B21:B25)</f>
        <v>0</v>
      </c>
      <c r="C26" s="137">
        <f t="shared" si="0"/>
        <v>500</v>
      </c>
      <c r="D26" s="138"/>
    </row>
    <row r="27" spans="1:27" ht="14.25" customHeight="1">
      <c r="A27" s="6" t="s">
        <v>81</v>
      </c>
      <c r="B27" s="7"/>
      <c r="C27" s="130"/>
      <c r="D27" s="131"/>
    </row>
    <row r="28" spans="1:27" ht="14.25" customHeight="1">
      <c r="A28" s="6" t="s">
        <v>86</v>
      </c>
      <c r="B28" s="8">
        <v>152.24</v>
      </c>
      <c r="C28" s="139">
        <v>500</v>
      </c>
      <c r="D28" s="131"/>
    </row>
    <row r="29" spans="1:27" ht="14.25" customHeight="1">
      <c r="A29" s="6" t="s">
        <v>87</v>
      </c>
      <c r="B29" s="7">
        <v>0</v>
      </c>
      <c r="C29" s="130"/>
      <c r="D29" s="131"/>
    </row>
    <row r="30" spans="1:27" ht="14.25" customHeight="1">
      <c r="A30" s="167" t="s">
        <v>255</v>
      </c>
      <c r="B30" s="168">
        <v>0</v>
      </c>
      <c r="C30" s="34">
        <v>100</v>
      </c>
      <c r="D30" s="141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7" ht="14.25" customHeight="1">
      <c r="A31" s="6" t="s">
        <v>88</v>
      </c>
      <c r="B31" s="7">
        <v>0</v>
      </c>
      <c r="C31" s="130"/>
      <c r="D31" s="131"/>
    </row>
    <row r="32" spans="1:27" ht="14.25" customHeight="1">
      <c r="A32" s="6" t="s">
        <v>294</v>
      </c>
      <c r="B32" s="8">
        <v>0</v>
      </c>
      <c r="C32" s="139"/>
      <c r="D32" s="131"/>
    </row>
    <row r="33" spans="1:5" ht="14.25" customHeight="1">
      <c r="A33" s="6" t="s">
        <v>92</v>
      </c>
      <c r="B33" s="7">
        <v>0</v>
      </c>
      <c r="C33" s="130"/>
      <c r="D33" s="131"/>
    </row>
    <row r="34" spans="1:5" ht="14.25" customHeight="1">
      <c r="A34" s="6" t="s">
        <v>259</v>
      </c>
      <c r="B34" s="7">
        <v>0</v>
      </c>
      <c r="C34" s="130"/>
      <c r="D34" s="131" t="s">
        <v>260</v>
      </c>
    </row>
    <row r="35" spans="1:5" ht="14.25" customHeight="1">
      <c r="A35" s="6" t="s">
        <v>261</v>
      </c>
      <c r="B35" s="7"/>
      <c r="C35" s="130">
        <f>35*F6</f>
        <v>455</v>
      </c>
      <c r="D35" s="131" t="s">
        <v>262</v>
      </c>
      <c r="E35" s="169"/>
    </row>
    <row r="36" spans="1:5" ht="14.25" customHeight="1">
      <c r="A36" s="6" t="s">
        <v>263</v>
      </c>
      <c r="B36" s="7">
        <v>0</v>
      </c>
      <c r="C36" s="130">
        <f>2374*2</f>
        <v>4748</v>
      </c>
      <c r="D36" s="131" t="s">
        <v>349</v>
      </c>
      <c r="E36" s="169"/>
    </row>
    <row r="37" spans="1:5" ht="14.25" customHeight="1">
      <c r="A37" s="6" t="s">
        <v>296</v>
      </c>
      <c r="B37" s="7"/>
      <c r="C37" s="130">
        <v>5000</v>
      </c>
      <c r="D37" s="174" t="s">
        <v>350</v>
      </c>
    </row>
    <row r="38" spans="1:5" ht="14.25" customHeight="1">
      <c r="A38" s="6" t="s">
        <v>265</v>
      </c>
      <c r="B38" s="7">
        <v>189.63</v>
      </c>
      <c r="C38" s="130">
        <f>15*F4</f>
        <v>750</v>
      </c>
      <c r="D38" s="131" t="s">
        <v>351</v>
      </c>
    </row>
    <row r="39" spans="1:5" ht="14.25" customHeight="1">
      <c r="A39" s="6" t="s">
        <v>104</v>
      </c>
      <c r="B39" s="7">
        <v>0</v>
      </c>
      <c r="C39" s="130"/>
      <c r="D39" s="131"/>
    </row>
    <row r="40" spans="1:5" ht="14.25" customHeight="1">
      <c r="A40" s="6" t="s">
        <v>105</v>
      </c>
      <c r="B40" s="7">
        <v>0</v>
      </c>
      <c r="C40" s="130"/>
      <c r="D40" s="131"/>
    </row>
    <row r="41" spans="1:5" ht="14.25" customHeight="1">
      <c r="A41" s="6" t="s">
        <v>107</v>
      </c>
      <c r="B41" s="7">
        <v>2964.53</v>
      </c>
      <c r="C41" s="130">
        <v>3500</v>
      </c>
      <c r="D41" s="131" t="s">
        <v>268</v>
      </c>
    </row>
    <row r="42" spans="1:5" ht="14.25" customHeight="1">
      <c r="A42" s="6" t="s">
        <v>108</v>
      </c>
      <c r="B42" s="7">
        <v>0</v>
      </c>
      <c r="C42" s="130"/>
      <c r="D42" s="131"/>
    </row>
    <row r="43" spans="1:5" ht="14.25" customHeight="1">
      <c r="A43" s="6" t="s">
        <v>109</v>
      </c>
      <c r="B43" s="137">
        <f t="shared" ref="B43:C43" si="1">SUM(B27:B42)</f>
        <v>3306.4</v>
      </c>
      <c r="C43" s="137">
        <f t="shared" si="1"/>
        <v>15053</v>
      </c>
      <c r="D43" s="138"/>
    </row>
    <row r="44" spans="1:5" ht="14.25" customHeight="1">
      <c r="A44" s="6" t="s">
        <v>110</v>
      </c>
      <c r="B44" s="137">
        <f t="shared" ref="B44:C44" si="2">B43+B26</f>
        <v>3306.4</v>
      </c>
      <c r="C44" s="137">
        <f t="shared" si="2"/>
        <v>15553</v>
      </c>
      <c r="D44" s="138"/>
    </row>
    <row r="45" spans="1:5" ht="14.25" customHeight="1">
      <c r="A45" s="6"/>
      <c r="B45" s="137"/>
      <c r="C45" s="137"/>
      <c r="D45" s="138"/>
    </row>
    <row r="46" spans="1:5" ht="14.25" customHeight="1">
      <c r="A46" s="6" t="s">
        <v>270</v>
      </c>
      <c r="B46" s="7"/>
      <c r="C46" s="130"/>
      <c r="D46" s="131"/>
    </row>
    <row r="47" spans="1:5" ht="14.25" customHeight="1">
      <c r="A47" s="6" t="s">
        <v>271</v>
      </c>
      <c r="B47" s="7">
        <v>0</v>
      </c>
      <c r="C47" s="130"/>
    </row>
    <row r="48" spans="1:5" ht="14.25" customHeight="1">
      <c r="A48" s="6" t="s">
        <v>272</v>
      </c>
      <c r="B48" s="147">
        <v>0</v>
      </c>
      <c r="C48" s="130"/>
      <c r="D48" s="131"/>
    </row>
    <row r="49" spans="1:4" ht="14.25" customHeight="1">
      <c r="A49" s="6" t="s">
        <v>116</v>
      </c>
      <c r="B49" s="137">
        <f>(B47)+(B48)+B46</f>
        <v>0</v>
      </c>
      <c r="C49" s="137">
        <f>(C47)+(C48)</f>
        <v>0</v>
      </c>
      <c r="D49" s="138"/>
    </row>
    <row r="50" spans="1:4" ht="14.25" customHeight="1">
      <c r="A50" s="6" t="s">
        <v>273</v>
      </c>
      <c r="B50" s="7">
        <v>0</v>
      </c>
      <c r="C50" s="130"/>
      <c r="D50" s="131"/>
    </row>
    <row r="51" spans="1:4" ht="14.25" customHeight="1">
      <c r="A51" s="6" t="s">
        <v>274</v>
      </c>
      <c r="B51" s="7">
        <v>1059.25</v>
      </c>
      <c r="C51" s="130"/>
      <c r="D51" s="131" t="s">
        <v>275</v>
      </c>
    </row>
    <row r="52" spans="1:4" ht="14.25" customHeight="1">
      <c r="A52" s="6" t="s">
        <v>276</v>
      </c>
      <c r="B52" s="147">
        <v>0</v>
      </c>
      <c r="C52" s="130">
        <v>100</v>
      </c>
      <c r="D52" s="131"/>
    </row>
    <row r="53" spans="1:4" ht="14.25" customHeight="1">
      <c r="A53" s="6" t="s">
        <v>277</v>
      </c>
      <c r="B53" s="137">
        <f t="shared" ref="B53:C53" si="3">(B51)+(B52)</f>
        <v>1059.25</v>
      </c>
      <c r="C53" s="137">
        <f t="shared" si="3"/>
        <v>100</v>
      </c>
      <c r="D53" s="138"/>
    </row>
    <row r="54" spans="1:4" ht="14.25" customHeight="1">
      <c r="A54" s="6" t="s">
        <v>278</v>
      </c>
      <c r="B54" s="137">
        <f t="shared" ref="B54:C54" si="4">B49-B53</f>
        <v>-1059.25</v>
      </c>
      <c r="C54" s="137">
        <f t="shared" si="4"/>
        <v>-100</v>
      </c>
      <c r="D54" s="138"/>
    </row>
    <row r="55" spans="1:4" ht="14.25" customHeight="1">
      <c r="A55" s="6" t="s">
        <v>279</v>
      </c>
      <c r="B55" s="137">
        <f t="shared" ref="B55:C55" si="5">B17-B44+B54</f>
        <v>-27.250000000000455</v>
      </c>
      <c r="C55" s="137">
        <f t="shared" si="5"/>
        <v>-14153</v>
      </c>
      <c r="D55" s="138"/>
    </row>
    <row r="56" spans="1:4" ht="14.25" customHeight="1">
      <c r="A56" s="6"/>
      <c r="B56" s="7"/>
      <c r="C56" s="130"/>
      <c r="D56" s="131"/>
    </row>
    <row r="57" spans="1:4" ht="14.25" customHeight="1">
      <c r="A57" s="24" t="s">
        <v>280</v>
      </c>
      <c r="B57" s="15"/>
      <c r="C57" s="148">
        <f>C36+C41+C35+0.5*C37</f>
        <v>11203</v>
      </c>
      <c r="D57" s="149" t="s">
        <v>352</v>
      </c>
    </row>
    <row r="58" spans="1:4" ht="14.25" customHeight="1">
      <c r="A58" s="24" t="s">
        <v>343</v>
      </c>
      <c r="B58" s="15"/>
      <c r="C58" s="148">
        <f>C55+C57</f>
        <v>-2950</v>
      </c>
      <c r="D58" s="149"/>
    </row>
    <row r="59" spans="1:4" ht="14.25" customHeight="1">
      <c r="B59" s="15"/>
      <c r="C59" s="42"/>
      <c r="D59" s="149"/>
    </row>
    <row r="60" spans="1:4" ht="14.25" customHeight="1">
      <c r="B60" s="15"/>
      <c r="C60" s="42"/>
      <c r="D60" s="149"/>
    </row>
    <row r="61" spans="1:4" ht="14.25" customHeight="1">
      <c r="B61" s="15"/>
      <c r="C61" s="42"/>
      <c r="D61" s="149"/>
    </row>
    <row r="62" spans="1:4" ht="14.25" customHeight="1">
      <c r="B62" s="15"/>
      <c r="C62" s="122"/>
      <c r="D62" s="149"/>
    </row>
    <row r="63" spans="1:4" ht="14.25" customHeight="1">
      <c r="A63" s="150" t="s">
        <v>283</v>
      </c>
      <c r="B63" s="151"/>
      <c r="C63" s="152"/>
      <c r="D63" s="153"/>
    </row>
    <row r="64" spans="1:4" ht="14.25" customHeight="1">
      <c r="A64" s="154" t="s">
        <v>229</v>
      </c>
      <c r="B64" s="17"/>
      <c r="C64" s="155">
        <v>2969</v>
      </c>
      <c r="D64" s="153"/>
    </row>
    <row r="65" spans="1:4" ht="14.25" customHeight="1">
      <c r="A65" s="154" t="s">
        <v>284</v>
      </c>
      <c r="B65" s="17"/>
      <c r="C65" s="155">
        <v>2374</v>
      </c>
      <c r="D65" s="153"/>
    </row>
    <row r="66" spans="1:4" ht="14.25" customHeight="1">
      <c r="A66" s="124"/>
      <c r="B66" s="184"/>
      <c r="C66" s="185"/>
      <c r="D66" s="153"/>
    </row>
    <row r="67" spans="1:4" ht="14.25" customHeight="1">
      <c r="D67" s="109"/>
    </row>
    <row r="68" spans="1:4" ht="14.25" customHeight="1">
      <c r="D68" s="109"/>
    </row>
    <row r="69" spans="1:4" ht="14.25" customHeight="1">
      <c r="D69" s="109"/>
    </row>
    <row r="70" spans="1:4" ht="14.25" customHeight="1">
      <c r="D70" s="109"/>
    </row>
    <row r="71" spans="1:4" ht="14.25" customHeight="1">
      <c r="D71" s="109"/>
    </row>
    <row r="72" spans="1:4" ht="14.25" customHeight="1">
      <c r="D72" s="109"/>
    </row>
    <row r="73" spans="1:4" ht="14.25" customHeight="1">
      <c r="D73" s="109"/>
    </row>
    <row r="74" spans="1:4" ht="14.25" customHeight="1">
      <c r="D74" s="109"/>
    </row>
    <row r="75" spans="1:4" ht="14.25" customHeight="1">
      <c r="D75" s="109"/>
    </row>
    <row r="76" spans="1:4" ht="14.25" customHeight="1">
      <c r="D76" s="109"/>
    </row>
    <row r="77" spans="1:4" ht="14.25" customHeight="1">
      <c r="D77" s="109"/>
    </row>
    <row r="78" spans="1:4" ht="14.25" customHeight="1">
      <c r="D78" s="109"/>
    </row>
    <row r="79" spans="1:4" ht="14.25" customHeight="1">
      <c r="D79" s="109"/>
    </row>
    <row r="80" spans="1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>
      <c r="D967" s="109"/>
    </row>
    <row r="968" spans="4:4" ht="14.25" customHeight="1"/>
    <row r="969" spans="4:4" ht="14.25" customHeight="1"/>
    <row r="970" spans="4:4" ht="14.25" customHeight="1"/>
    <row r="971" spans="4:4" ht="14.25" customHeight="1"/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  <row r="978" ht="14.25" customHeight="1"/>
  </sheetData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982"/>
  <sheetViews>
    <sheetView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40.7109375" customWidth="1"/>
    <col min="2" max="3" width="12" customWidth="1"/>
    <col min="4" max="4" width="54.42578125" customWidth="1"/>
    <col min="5" max="5" width="10.28515625" customWidth="1"/>
    <col min="6" max="6" width="8.7109375" customWidth="1"/>
    <col min="7" max="7" width="21.140625" customWidth="1"/>
    <col min="8" max="27" width="8.7109375" customWidth="1"/>
  </cols>
  <sheetData>
    <row r="1" spans="1:7" ht="14.25" customHeight="1">
      <c r="A1" s="110" t="s">
        <v>175</v>
      </c>
      <c r="B1" s="108"/>
      <c r="C1" s="108"/>
      <c r="D1" s="111" t="s">
        <v>225</v>
      </c>
      <c r="E1" s="112" t="s">
        <v>226</v>
      </c>
      <c r="F1" s="113"/>
      <c r="G1" s="86"/>
    </row>
    <row r="2" spans="1:7" ht="14.25" customHeight="1">
      <c r="A2" s="24" t="s">
        <v>227</v>
      </c>
      <c r="B2" s="114">
        <v>1146.3499999999999</v>
      </c>
      <c r="C2" s="114"/>
      <c r="D2" s="115" t="s">
        <v>353</v>
      </c>
      <c r="E2" s="116" t="s">
        <v>229</v>
      </c>
      <c r="F2" s="186">
        <v>40</v>
      </c>
      <c r="G2" s="118" t="s">
        <v>354</v>
      </c>
    </row>
    <row r="3" spans="1:7" ht="14.25" customHeight="1">
      <c r="B3" s="108"/>
      <c r="C3" s="108"/>
      <c r="D3" s="115"/>
      <c r="E3" s="116" t="s">
        <v>347</v>
      </c>
      <c r="F3" s="187">
        <v>55</v>
      </c>
      <c r="G3" s="118" t="s">
        <v>354</v>
      </c>
    </row>
    <row r="4" spans="1:7" ht="14.25" customHeight="1">
      <c r="B4" s="108"/>
      <c r="C4" s="108"/>
      <c r="D4" s="160" t="s">
        <v>288</v>
      </c>
      <c r="E4" s="116" t="s">
        <v>233</v>
      </c>
      <c r="F4" s="117">
        <f>F2+F3</f>
        <v>95</v>
      </c>
      <c r="G4" s="118"/>
    </row>
    <row r="5" spans="1:7" ht="14.25" customHeight="1">
      <c r="B5" s="108"/>
      <c r="C5" s="108"/>
      <c r="D5" s="119" t="s">
        <v>355</v>
      </c>
      <c r="E5" s="116"/>
      <c r="G5" s="118"/>
    </row>
    <row r="6" spans="1:7" ht="14.25" customHeight="1">
      <c r="B6" s="121"/>
      <c r="C6" s="121"/>
      <c r="D6" s="109"/>
      <c r="E6" s="124" t="s">
        <v>234</v>
      </c>
      <c r="F6" s="125">
        <v>15</v>
      </c>
      <c r="G6" s="118" t="s">
        <v>354</v>
      </c>
    </row>
    <row r="7" spans="1:7" ht="14.25" customHeight="1">
      <c r="A7" s="4"/>
      <c r="B7" s="127" t="s">
        <v>236</v>
      </c>
      <c r="C7" s="127" t="s">
        <v>237</v>
      </c>
      <c r="D7" s="188" t="s">
        <v>5</v>
      </c>
    </row>
    <row r="8" spans="1:7" ht="14.25" customHeight="1">
      <c r="A8" s="6" t="s">
        <v>6</v>
      </c>
      <c r="B8" s="7"/>
      <c r="C8" s="7"/>
      <c r="D8" s="189"/>
    </row>
    <row r="9" spans="1:7" ht="14.25" customHeight="1">
      <c r="A9" s="6" t="s">
        <v>7</v>
      </c>
      <c r="B9" s="7">
        <v>3192.15</v>
      </c>
      <c r="C9" s="7"/>
      <c r="D9" s="189" t="s">
        <v>356</v>
      </c>
    </row>
    <row r="10" spans="1:7" ht="14.25" customHeight="1">
      <c r="A10" s="6" t="s">
        <v>239</v>
      </c>
      <c r="B10" s="7"/>
      <c r="C10" s="7">
        <v>2000</v>
      </c>
      <c r="D10" s="189" t="s">
        <v>357</v>
      </c>
    </row>
    <row r="11" spans="1:7" ht="14.25" customHeight="1">
      <c r="A11" s="6" t="s">
        <v>358</v>
      </c>
      <c r="B11" s="7">
        <f>1166.75+150</f>
        <v>1316.75</v>
      </c>
      <c r="C11" s="7"/>
      <c r="D11" s="189"/>
    </row>
    <row r="12" spans="1:7" ht="14.25" customHeight="1">
      <c r="A12" s="6" t="s">
        <v>359</v>
      </c>
      <c r="B12" s="7">
        <v>7173</v>
      </c>
      <c r="C12" s="7">
        <v>16635.75</v>
      </c>
      <c r="D12" s="189" t="s">
        <v>360</v>
      </c>
    </row>
    <row r="13" spans="1:7" ht="14.25" customHeight="1">
      <c r="A13" s="6" t="s">
        <v>241</v>
      </c>
      <c r="B13" s="7">
        <v>378</v>
      </c>
      <c r="C13" s="7">
        <v>378</v>
      </c>
      <c r="D13" s="189" t="s">
        <v>242</v>
      </c>
    </row>
    <row r="14" spans="1:7" ht="14.25" customHeight="1">
      <c r="A14" s="6" t="s">
        <v>361</v>
      </c>
      <c r="B14" s="7">
        <v>1000</v>
      </c>
      <c r="C14" s="7">
        <f>13000+C25</f>
        <v>21280</v>
      </c>
      <c r="D14" s="189" t="s">
        <v>362</v>
      </c>
    </row>
    <row r="15" spans="1:7" ht="14.25" customHeight="1">
      <c r="A15" s="6" t="s">
        <v>243</v>
      </c>
      <c r="B15" s="7">
        <v>15817.03</v>
      </c>
      <c r="C15" s="7">
        <v>12000</v>
      </c>
      <c r="D15" s="189" t="s">
        <v>363</v>
      </c>
    </row>
    <row r="16" spans="1:7" ht="14.25" customHeight="1">
      <c r="A16" s="6" t="s">
        <v>37</v>
      </c>
      <c r="B16" s="7">
        <v>550</v>
      </c>
      <c r="C16" s="7"/>
      <c r="D16" s="189"/>
    </row>
    <row r="17" spans="1:4" ht="14.25" customHeight="1">
      <c r="A17" s="6" t="s">
        <v>308</v>
      </c>
      <c r="B17" s="7"/>
      <c r="C17" s="7"/>
      <c r="D17" s="189"/>
    </row>
    <row r="18" spans="1:4" ht="14.25" customHeight="1">
      <c r="A18" s="6" t="s">
        <v>246</v>
      </c>
      <c r="B18" s="7">
        <v>7000</v>
      </c>
      <c r="C18" s="7">
        <v>10000</v>
      </c>
      <c r="D18" s="189" t="s">
        <v>247</v>
      </c>
    </row>
    <row r="19" spans="1:4" ht="14.25" customHeight="1">
      <c r="A19" s="6" t="s">
        <v>248</v>
      </c>
      <c r="B19" s="8">
        <f>7.6+29.65+365</f>
        <v>402.25</v>
      </c>
      <c r="C19" s="8"/>
      <c r="D19" s="190"/>
    </row>
    <row r="20" spans="1:4" ht="14.25" customHeight="1">
      <c r="A20" s="6" t="s">
        <v>41</v>
      </c>
      <c r="B20" s="191">
        <f>SUM(B9:B19)</f>
        <v>36829.18</v>
      </c>
      <c r="C20" s="191">
        <f>SUM(C9:C18)</f>
        <v>62293.75</v>
      </c>
      <c r="D20" s="190"/>
    </row>
    <row r="21" spans="1:4" ht="14.25" customHeight="1">
      <c r="A21" s="6"/>
      <c r="B21" s="137"/>
      <c r="C21" s="137"/>
      <c r="D21" s="190"/>
    </row>
    <row r="22" spans="1:4" ht="14.25" customHeight="1">
      <c r="A22" s="6" t="s">
        <v>43</v>
      </c>
      <c r="B22" s="7"/>
      <c r="C22" s="7"/>
      <c r="D22" s="189"/>
    </row>
    <row r="23" spans="1:4" ht="14.25" customHeight="1">
      <c r="A23" s="6" t="s">
        <v>70</v>
      </c>
      <c r="B23" s="7"/>
      <c r="C23" s="7"/>
      <c r="D23" s="189"/>
    </row>
    <row r="24" spans="1:4" ht="14.25" customHeight="1">
      <c r="A24" s="6" t="s">
        <v>249</v>
      </c>
      <c r="B24" s="7">
        <v>0</v>
      </c>
      <c r="C24" s="7"/>
      <c r="D24" s="189"/>
    </row>
    <row r="25" spans="1:4" ht="14.25" customHeight="1">
      <c r="A25" s="6" t="s">
        <v>364</v>
      </c>
      <c r="B25" s="7">
        <v>828</v>
      </c>
      <c r="C25" s="7">
        <f>B25*10</f>
        <v>8280</v>
      </c>
      <c r="D25" s="189"/>
    </row>
    <row r="26" spans="1:4" ht="14.25" customHeight="1">
      <c r="A26" s="6" t="s">
        <v>250</v>
      </c>
      <c r="B26" s="7">
        <v>5616.52</v>
      </c>
      <c r="C26" s="7">
        <f>B26*0.8</f>
        <v>4493.2160000000003</v>
      </c>
      <c r="D26" s="189" t="s">
        <v>363</v>
      </c>
    </row>
    <row r="27" spans="1:4" ht="14.25" customHeight="1">
      <c r="A27" s="6" t="s">
        <v>251</v>
      </c>
      <c r="B27" s="7">
        <v>0</v>
      </c>
      <c r="C27" s="7"/>
      <c r="D27" s="189"/>
    </row>
    <row r="28" spans="1:4" ht="14.25" customHeight="1">
      <c r="A28" s="6" t="s">
        <v>310</v>
      </c>
      <c r="B28" s="7">
        <v>0</v>
      </c>
      <c r="C28" s="7"/>
      <c r="D28" s="189"/>
    </row>
    <row r="29" spans="1:4" ht="14.25" customHeight="1">
      <c r="A29" s="6" t="s">
        <v>252</v>
      </c>
      <c r="B29" s="147">
        <f>3900+100</f>
        <v>4000</v>
      </c>
      <c r="C29" s="147"/>
      <c r="D29" s="189"/>
    </row>
    <row r="30" spans="1:4" ht="14.25" customHeight="1">
      <c r="A30" s="6" t="s">
        <v>253</v>
      </c>
      <c r="B30" s="137">
        <f t="shared" ref="B30:C30" si="0">SUM(B24:B29)</f>
        <v>10444.52</v>
      </c>
      <c r="C30" s="137">
        <f t="shared" si="0"/>
        <v>12773.216</v>
      </c>
      <c r="D30" s="190"/>
    </row>
    <row r="31" spans="1:4" ht="14.25" customHeight="1">
      <c r="A31" s="6" t="s">
        <v>81</v>
      </c>
      <c r="B31" s="7"/>
      <c r="C31" s="7"/>
      <c r="D31" s="189"/>
    </row>
    <row r="32" spans="1:4" ht="14.25" customHeight="1">
      <c r="A32" s="6" t="s">
        <v>86</v>
      </c>
      <c r="B32" s="8">
        <v>22208.02</v>
      </c>
      <c r="C32" s="8">
        <f>5000+3000+1500+1000+6000</f>
        <v>16500</v>
      </c>
      <c r="D32" s="189" t="s">
        <v>365</v>
      </c>
    </row>
    <row r="33" spans="1:27" ht="14.25" customHeight="1">
      <c r="A33" s="6" t="s">
        <v>87</v>
      </c>
      <c r="B33" s="7">
        <v>0</v>
      </c>
      <c r="C33" s="7"/>
      <c r="D33" s="189"/>
    </row>
    <row r="34" spans="1:27" ht="14.25" customHeight="1">
      <c r="A34" s="167" t="s">
        <v>255</v>
      </c>
      <c r="B34" s="168">
        <v>2079.84</v>
      </c>
      <c r="C34" s="168">
        <v>2000</v>
      </c>
      <c r="D34" s="192" t="s">
        <v>366</v>
      </c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</row>
    <row r="35" spans="1:27" ht="14.25" customHeight="1">
      <c r="A35" s="6" t="s">
        <v>88</v>
      </c>
      <c r="B35" s="7">
        <v>0</v>
      </c>
      <c r="C35" s="7"/>
      <c r="D35" s="189"/>
    </row>
    <row r="36" spans="1:27" ht="14.25" customHeight="1">
      <c r="A36" s="6" t="s">
        <v>294</v>
      </c>
      <c r="B36" s="8">
        <v>0</v>
      </c>
      <c r="C36" s="8"/>
      <c r="D36" s="189"/>
    </row>
    <row r="37" spans="1:27" ht="14.25" customHeight="1">
      <c r="A37" s="6" t="s">
        <v>92</v>
      </c>
      <c r="B37" s="7">
        <v>0</v>
      </c>
      <c r="C37" s="7">
        <v>1000</v>
      </c>
      <c r="D37" s="189" t="s">
        <v>367</v>
      </c>
    </row>
    <row r="38" spans="1:27" ht="14.25" customHeight="1">
      <c r="A38" s="6" t="s">
        <v>259</v>
      </c>
      <c r="B38" s="7">
        <v>0</v>
      </c>
      <c r="C38" s="7"/>
      <c r="D38" s="189" t="s">
        <v>260</v>
      </c>
    </row>
    <row r="39" spans="1:27" ht="14.25" customHeight="1">
      <c r="A39" s="6" t="s">
        <v>261</v>
      </c>
      <c r="B39" s="7"/>
      <c r="C39" s="7">
        <f>35*F6</f>
        <v>525</v>
      </c>
      <c r="D39" s="189" t="s">
        <v>262</v>
      </c>
      <c r="E39" s="24"/>
    </row>
    <row r="40" spans="1:27" ht="14.25" customHeight="1">
      <c r="A40" s="6" t="s">
        <v>263</v>
      </c>
      <c r="B40" s="7">
        <v>7751.97</v>
      </c>
      <c r="C40" s="7">
        <f>3*C69</f>
        <v>7122</v>
      </c>
      <c r="D40" s="189" t="s">
        <v>368</v>
      </c>
      <c r="E40" s="24" t="s">
        <v>369</v>
      </c>
    </row>
    <row r="41" spans="1:27" ht="14.25" customHeight="1">
      <c r="A41" s="6" t="s">
        <v>296</v>
      </c>
      <c r="B41" s="7">
        <v>12705</v>
      </c>
      <c r="C41" s="7">
        <v>16000</v>
      </c>
      <c r="D41" s="193" t="s">
        <v>370</v>
      </c>
    </row>
    <row r="42" spans="1:27" ht="14.25" customHeight="1">
      <c r="A42" s="6" t="s">
        <v>265</v>
      </c>
      <c r="B42" s="7">
        <v>1485</v>
      </c>
      <c r="C42" s="7">
        <v>1485</v>
      </c>
      <c r="D42" s="189" t="s">
        <v>371</v>
      </c>
    </row>
    <row r="43" spans="1:27" ht="14.25" customHeight="1">
      <c r="A43" s="6" t="s">
        <v>104</v>
      </c>
      <c r="B43" s="7">
        <v>0</v>
      </c>
      <c r="C43" s="7"/>
      <c r="D43" s="189"/>
    </row>
    <row r="44" spans="1:27" ht="14.25" customHeight="1">
      <c r="A44" s="6" t="s">
        <v>105</v>
      </c>
      <c r="B44" s="7">
        <v>4568.9399999999996</v>
      </c>
      <c r="C44" s="7">
        <v>5000</v>
      </c>
      <c r="D44" s="189"/>
    </row>
    <row r="45" spans="1:27" ht="14.25" customHeight="1">
      <c r="A45" s="6" t="s">
        <v>107</v>
      </c>
      <c r="B45" s="7">
        <v>18958.28</v>
      </c>
      <c r="C45" s="7">
        <f>5000</f>
        <v>5000</v>
      </c>
      <c r="D45" s="189" t="s">
        <v>372</v>
      </c>
    </row>
    <row r="46" spans="1:27" ht="14.25" customHeight="1">
      <c r="A46" s="6" t="s">
        <v>108</v>
      </c>
      <c r="B46" s="7">
        <v>0</v>
      </c>
      <c r="C46" s="7"/>
      <c r="D46" s="189"/>
    </row>
    <row r="47" spans="1:27" ht="14.25" customHeight="1">
      <c r="A47" s="6" t="s">
        <v>109</v>
      </c>
      <c r="B47" s="137">
        <f t="shared" ref="B47:C47" si="1">SUM(B31:B46)</f>
        <v>69757.05</v>
      </c>
      <c r="C47" s="137">
        <f t="shared" si="1"/>
        <v>54632</v>
      </c>
      <c r="D47" s="190"/>
    </row>
    <row r="48" spans="1:27" ht="14.25" customHeight="1">
      <c r="A48" s="6" t="s">
        <v>110</v>
      </c>
      <c r="B48" s="137">
        <f t="shared" ref="B48:C48" si="2">B47+B30</f>
        <v>80201.570000000007</v>
      </c>
      <c r="C48" s="137">
        <f t="shared" si="2"/>
        <v>67405.216</v>
      </c>
      <c r="D48" s="190"/>
    </row>
    <row r="49" spans="1:4" ht="14.25" customHeight="1">
      <c r="A49" s="6"/>
      <c r="B49" s="137"/>
      <c r="C49" s="137"/>
      <c r="D49" s="190"/>
    </row>
    <row r="50" spans="1:4" ht="14.25" customHeight="1">
      <c r="A50" s="6" t="s">
        <v>270</v>
      </c>
      <c r="B50" s="7">
        <v>259.47000000000003</v>
      </c>
      <c r="C50" s="7"/>
      <c r="D50" s="189"/>
    </row>
    <row r="51" spans="1:4" ht="14.25" customHeight="1">
      <c r="A51" s="6" t="s">
        <v>271</v>
      </c>
      <c r="B51" s="7">
        <v>14477.09</v>
      </c>
      <c r="C51" s="7"/>
      <c r="D51" s="194" t="s">
        <v>373</v>
      </c>
    </row>
    <row r="52" spans="1:4" ht="14.25" customHeight="1">
      <c r="A52" s="6" t="s">
        <v>272</v>
      </c>
      <c r="B52" s="147">
        <v>0</v>
      </c>
      <c r="C52" s="147"/>
      <c r="D52" s="189"/>
    </row>
    <row r="53" spans="1:4" ht="14.25" customHeight="1">
      <c r="A53" s="6" t="s">
        <v>116</v>
      </c>
      <c r="B53" s="137">
        <f>(B51)+(B52)+B50</f>
        <v>14736.56</v>
      </c>
      <c r="C53" s="137">
        <f>(C51)+(C52)</f>
        <v>0</v>
      </c>
      <c r="D53" s="190"/>
    </row>
    <row r="54" spans="1:4" ht="14.25" customHeight="1">
      <c r="A54" s="6" t="s">
        <v>273</v>
      </c>
      <c r="B54" s="7">
        <v>0</v>
      </c>
      <c r="C54" s="7"/>
      <c r="D54" s="189"/>
    </row>
    <row r="55" spans="1:4" ht="14.25" customHeight="1">
      <c r="A55" s="6" t="s">
        <v>274</v>
      </c>
      <c r="B55" s="7">
        <v>32515.11</v>
      </c>
      <c r="C55" s="7">
        <v>17000</v>
      </c>
      <c r="D55" s="192" t="s">
        <v>366</v>
      </c>
    </row>
    <row r="56" spans="1:4" ht="14.25" customHeight="1">
      <c r="A56" s="6" t="s">
        <v>276</v>
      </c>
      <c r="B56" s="147">
        <v>0</v>
      </c>
      <c r="C56" s="147"/>
      <c r="D56" s="189"/>
    </row>
    <row r="57" spans="1:4" ht="14.25" customHeight="1">
      <c r="A57" s="6" t="s">
        <v>277</v>
      </c>
      <c r="B57" s="137">
        <f t="shared" ref="B57:C57" si="3">(B55)+(B56)</f>
        <v>32515.11</v>
      </c>
      <c r="C57" s="137">
        <f t="shared" si="3"/>
        <v>17000</v>
      </c>
      <c r="D57" s="190"/>
    </row>
    <row r="58" spans="1:4" ht="14.25" customHeight="1">
      <c r="A58" s="6" t="s">
        <v>278</v>
      </c>
      <c r="B58" s="137">
        <f t="shared" ref="B58:C58" si="4">B53-B57</f>
        <v>-17778.550000000003</v>
      </c>
      <c r="C58" s="137">
        <f t="shared" si="4"/>
        <v>-17000</v>
      </c>
      <c r="D58" s="190"/>
    </row>
    <row r="59" spans="1:4" ht="14.25" customHeight="1">
      <c r="A59" s="6" t="s">
        <v>279</v>
      </c>
      <c r="B59" s="137">
        <f t="shared" ref="B59:C59" si="5">B20-B48+B58</f>
        <v>-61150.94000000001</v>
      </c>
      <c r="C59" s="137">
        <f t="shared" si="5"/>
        <v>-22111.466</v>
      </c>
      <c r="D59" s="190"/>
    </row>
    <row r="60" spans="1:4" ht="14.25" customHeight="1">
      <c r="A60" s="6"/>
      <c r="B60" s="7"/>
      <c r="C60" s="7"/>
      <c r="D60" s="189"/>
    </row>
    <row r="61" spans="1:4" ht="14.25" customHeight="1">
      <c r="A61" s="24" t="s">
        <v>280</v>
      </c>
      <c r="B61" s="15"/>
      <c r="C61" s="17">
        <f>C40+C45+C41/2+C39</f>
        <v>20647</v>
      </c>
      <c r="D61" s="109" t="s">
        <v>374</v>
      </c>
    </row>
    <row r="62" spans="1:4" ht="14.25" customHeight="1">
      <c r="A62" s="24" t="s">
        <v>343</v>
      </c>
      <c r="B62" s="15"/>
      <c r="C62" s="17">
        <f>C59+C61</f>
        <v>-1464.4660000000003</v>
      </c>
      <c r="D62" s="109"/>
    </row>
    <row r="63" spans="1:4" ht="14.25" customHeight="1">
      <c r="B63" s="15"/>
      <c r="C63" s="15"/>
      <c r="D63" s="109"/>
    </row>
    <row r="64" spans="1:4" ht="14.25" customHeight="1">
      <c r="B64" s="15"/>
      <c r="C64" s="15"/>
      <c r="D64" s="109"/>
    </row>
    <row r="65" spans="1:4" ht="14.25" customHeight="1">
      <c r="B65" s="15"/>
      <c r="C65" s="15"/>
      <c r="D65" s="109"/>
    </row>
    <row r="66" spans="1:4" ht="14.25" customHeight="1">
      <c r="B66" s="15"/>
      <c r="C66" s="15"/>
      <c r="D66" s="109"/>
    </row>
    <row r="67" spans="1:4" ht="14.25" customHeight="1">
      <c r="A67" s="150" t="s">
        <v>283</v>
      </c>
      <c r="B67" s="151"/>
      <c r="C67" s="195"/>
      <c r="D67" s="109"/>
    </row>
    <row r="68" spans="1:4" ht="14.25" customHeight="1">
      <c r="A68" s="154" t="s">
        <v>229</v>
      </c>
      <c r="B68" s="17"/>
      <c r="C68" s="196">
        <v>2969</v>
      </c>
      <c r="D68" s="109"/>
    </row>
    <row r="69" spans="1:4" ht="14.25" customHeight="1">
      <c r="A69" s="156" t="s">
        <v>284</v>
      </c>
      <c r="B69" s="157"/>
      <c r="C69" s="197">
        <v>2374</v>
      </c>
      <c r="D69" s="109"/>
    </row>
    <row r="70" spans="1:4" ht="14.25" customHeight="1">
      <c r="B70" s="15"/>
      <c r="C70" s="15"/>
      <c r="D70" s="109"/>
    </row>
    <row r="71" spans="1:4" ht="14.25" customHeight="1">
      <c r="D71" s="109"/>
    </row>
    <row r="72" spans="1:4" ht="14.25" customHeight="1">
      <c r="D72" s="109"/>
    </row>
    <row r="73" spans="1:4" ht="14.25" customHeight="1">
      <c r="D73" s="109"/>
    </row>
    <row r="74" spans="1:4" ht="14.25" customHeight="1">
      <c r="D74" s="109"/>
    </row>
    <row r="75" spans="1:4" ht="14.25" customHeight="1">
      <c r="D75" s="109"/>
    </row>
    <row r="76" spans="1:4" ht="14.25" customHeight="1">
      <c r="D76" s="109"/>
    </row>
    <row r="77" spans="1:4" ht="14.25" customHeight="1">
      <c r="D77" s="109"/>
    </row>
    <row r="78" spans="1:4" ht="14.25" customHeight="1">
      <c r="D78" s="109"/>
    </row>
    <row r="79" spans="1:4" ht="14.25" customHeight="1">
      <c r="D79" s="109"/>
    </row>
    <row r="80" spans="1:4" ht="14.25" customHeight="1">
      <c r="D80" s="109"/>
    </row>
    <row r="81" spans="4:4" ht="14.25" customHeight="1">
      <c r="D81" s="109"/>
    </row>
    <row r="82" spans="4:4" ht="14.25" customHeight="1">
      <c r="D82" s="109"/>
    </row>
    <row r="83" spans="4:4" ht="14.25" customHeight="1">
      <c r="D83" s="109"/>
    </row>
    <row r="84" spans="4:4" ht="14.25" customHeight="1">
      <c r="D84" s="109"/>
    </row>
    <row r="85" spans="4:4" ht="14.25" customHeight="1">
      <c r="D85" s="109"/>
    </row>
    <row r="86" spans="4:4" ht="14.25" customHeight="1">
      <c r="D86" s="109"/>
    </row>
    <row r="87" spans="4:4" ht="14.25" customHeight="1">
      <c r="D87" s="109"/>
    </row>
    <row r="88" spans="4:4" ht="14.25" customHeight="1">
      <c r="D88" s="109"/>
    </row>
    <row r="89" spans="4:4" ht="14.25" customHeight="1">
      <c r="D89" s="109"/>
    </row>
    <row r="90" spans="4:4" ht="14.25" customHeight="1">
      <c r="D90" s="109"/>
    </row>
    <row r="91" spans="4:4" ht="14.25" customHeight="1">
      <c r="D91" s="109"/>
    </row>
    <row r="92" spans="4:4" ht="14.25" customHeight="1">
      <c r="D92" s="109"/>
    </row>
    <row r="93" spans="4:4" ht="14.25" customHeight="1">
      <c r="D93" s="109"/>
    </row>
    <row r="94" spans="4:4" ht="14.25" customHeight="1">
      <c r="D94" s="109"/>
    </row>
    <row r="95" spans="4:4" ht="14.25" customHeight="1">
      <c r="D95" s="109"/>
    </row>
    <row r="96" spans="4:4" ht="14.25" customHeight="1">
      <c r="D96" s="109"/>
    </row>
    <row r="97" spans="4:4" ht="14.25" customHeight="1">
      <c r="D97" s="109"/>
    </row>
    <row r="98" spans="4:4" ht="14.25" customHeight="1">
      <c r="D98" s="109"/>
    </row>
    <row r="99" spans="4:4" ht="14.25" customHeight="1">
      <c r="D99" s="109"/>
    </row>
    <row r="100" spans="4:4" ht="14.25" customHeight="1">
      <c r="D100" s="109"/>
    </row>
    <row r="101" spans="4:4" ht="14.25" customHeight="1">
      <c r="D101" s="109"/>
    </row>
    <row r="102" spans="4:4" ht="14.25" customHeight="1">
      <c r="D102" s="109"/>
    </row>
    <row r="103" spans="4:4" ht="14.25" customHeight="1">
      <c r="D103" s="109"/>
    </row>
    <row r="104" spans="4:4" ht="14.25" customHeight="1">
      <c r="D104" s="109"/>
    </row>
    <row r="105" spans="4:4" ht="14.25" customHeight="1">
      <c r="D105" s="109"/>
    </row>
    <row r="106" spans="4:4" ht="14.25" customHeight="1">
      <c r="D106" s="109"/>
    </row>
    <row r="107" spans="4:4" ht="14.25" customHeight="1">
      <c r="D107" s="109"/>
    </row>
    <row r="108" spans="4:4" ht="14.25" customHeight="1">
      <c r="D108" s="109"/>
    </row>
    <row r="109" spans="4:4" ht="14.25" customHeight="1">
      <c r="D109" s="109"/>
    </row>
    <row r="110" spans="4:4" ht="14.25" customHeight="1">
      <c r="D110" s="109"/>
    </row>
    <row r="111" spans="4:4" ht="14.25" customHeight="1">
      <c r="D111" s="109"/>
    </row>
    <row r="112" spans="4:4" ht="14.25" customHeight="1">
      <c r="D112" s="109"/>
    </row>
    <row r="113" spans="4:4" ht="14.25" customHeight="1">
      <c r="D113" s="109"/>
    </row>
    <row r="114" spans="4:4" ht="14.25" customHeight="1">
      <c r="D114" s="109"/>
    </row>
    <row r="115" spans="4:4" ht="14.25" customHeight="1">
      <c r="D115" s="109"/>
    </row>
    <row r="116" spans="4:4" ht="14.25" customHeight="1">
      <c r="D116" s="109"/>
    </row>
    <row r="117" spans="4:4" ht="14.25" customHeight="1">
      <c r="D117" s="109"/>
    </row>
    <row r="118" spans="4:4" ht="14.25" customHeight="1">
      <c r="D118" s="109"/>
    </row>
    <row r="119" spans="4:4" ht="14.25" customHeight="1">
      <c r="D119" s="109"/>
    </row>
    <row r="120" spans="4:4" ht="14.25" customHeight="1">
      <c r="D120" s="109"/>
    </row>
    <row r="121" spans="4:4" ht="14.25" customHeight="1">
      <c r="D121" s="109"/>
    </row>
    <row r="122" spans="4:4" ht="14.25" customHeight="1">
      <c r="D122" s="109"/>
    </row>
    <row r="123" spans="4:4" ht="14.25" customHeight="1">
      <c r="D123" s="109"/>
    </row>
    <row r="124" spans="4:4" ht="14.25" customHeight="1">
      <c r="D124" s="109"/>
    </row>
    <row r="125" spans="4:4" ht="14.25" customHeight="1">
      <c r="D125" s="109"/>
    </row>
    <row r="126" spans="4:4" ht="14.25" customHeight="1">
      <c r="D126" s="109"/>
    </row>
    <row r="127" spans="4:4" ht="14.25" customHeight="1">
      <c r="D127" s="109"/>
    </row>
    <row r="128" spans="4:4" ht="14.25" customHeight="1">
      <c r="D128" s="109"/>
    </row>
    <row r="129" spans="4:4" ht="14.25" customHeight="1">
      <c r="D129" s="109"/>
    </row>
    <row r="130" spans="4:4" ht="14.25" customHeight="1">
      <c r="D130" s="109"/>
    </row>
    <row r="131" spans="4:4" ht="14.25" customHeight="1">
      <c r="D131" s="109"/>
    </row>
    <row r="132" spans="4:4" ht="14.25" customHeight="1">
      <c r="D132" s="109"/>
    </row>
    <row r="133" spans="4:4" ht="14.25" customHeight="1">
      <c r="D133" s="109"/>
    </row>
    <row r="134" spans="4:4" ht="14.25" customHeight="1">
      <c r="D134" s="109"/>
    </row>
    <row r="135" spans="4:4" ht="14.25" customHeight="1">
      <c r="D135" s="109"/>
    </row>
    <row r="136" spans="4:4" ht="14.25" customHeight="1">
      <c r="D136" s="109"/>
    </row>
    <row r="137" spans="4:4" ht="14.25" customHeight="1">
      <c r="D137" s="109"/>
    </row>
    <row r="138" spans="4:4" ht="14.25" customHeight="1">
      <c r="D138" s="109"/>
    </row>
    <row r="139" spans="4:4" ht="14.25" customHeight="1">
      <c r="D139" s="109"/>
    </row>
    <row r="140" spans="4:4" ht="14.25" customHeight="1">
      <c r="D140" s="109"/>
    </row>
    <row r="141" spans="4:4" ht="14.25" customHeight="1">
      <c r="D141" s="109"/>
    </row>
    <row r="142" spans="4:4" ht="14.25" customHeight="1">
      <c r="D142" s="109"/>
    </row>
    <row r="143" spans="4:4" ht="14.25" customHeight="1">
      <c r="D143" s="109"/>
    </row>
    <row r="144" spans="4:4" ht="14.25" customHeight="1">
      <c r="D144" s="109"/>
    </row>
    <row r="145" spans="4:4" ht="14.25" customHeight="1">
      <c r="D145" s="109"/>
    </row>
    <row r="146" spans="4:4" ht="14.25" customHeight="1">
      <c r="D146" s="109"/>
    </row>
    <row r="147" spans="4:4" ht="14.25" customHeight="1">
      <c r="D147" s="109"/>
    </row>
    <row r="148" spans="4:4" ht="14.25" customHeight="1">
      <c r="D148" s="109"/>
    </row>
    <row r="149" spans="4:4" ht="14.25" customHeight="1">
      <c r="D149" s="109"/>
    </row>
    <row r="150" spans="4:4" ht="14.25" customHeight="1">
      <c r="D150" s="109"/>
    </row>
    <row r="151" spans="4:4" ht="14.25" customHeight="1">
      <c r="D151" s="109"/>
    </row>
    <row r="152" spans="4:4" ht="14.25" customHeight="1">
      <c r="D152" s="109"/>
    </row>
    <row r="153" spans="4:4" ht="14.25" customHeight="1">
      <c r="D153" s="109"/>
    </row>
    <row r="154" spans="4:4" ht="14.25" customHeight="1">
      <c r="D154" s="109"/>
    </row>
    <row r="155" spans="4:4" ht="14.25" customHeight="1">
      <c r="D155" s="109"/>
    </row>
    <row r="156" spans="4:4" ht="14.25" customHeight="1">
      <c r="D156" s="109"/>
    </row>
    <row r="157" spans="4:4" ht="14.25" customHeight="1">
      <c r="D157" s="109"/>
    </row>
    <row r="158" spans="4:4" ht="14.25" customHeight="1">
      <c r="D158" s="109"/>
    </row>
    <row r="159" spans="4:4" ht="14.25" customHeight="1">
      <c r="D159" s="109"/>
    </row>
    <row r="160" spans="4:4" ht="14.25" customHeight="1">
      <c r="D160" s="109"/>
    </row>
    <row r="161" spans="4:4" ht="14.25" customHeight="1">
      <c r="D161" s="109"/>
    </row>
    <row r="162" spans="4:4" ht="14.25" customHeight="1">
      <c r="D162" s="109"/>
    </row>
    <row r="163" spans="4:4" ht="14.25" customHeight="1">
      <c r="D163" s="109"/>
    </row>
    <row r="164" spans="4:4" ht="14.25" customHeight="1">
      <c r="D164" s="109"/>
    </row>
    <row r="165" spans="4:4" ht="14.25" customHeight="1">
      <c r="D165" s="109"/>
    </row>
    <row r="166" spans="4:4" ht="14.25" customHeight="1">
      <c r="D166" s="109"/>
    </row>
    <row r="167" spans="4:4" ht="14.25" customHeight="1">
      <c r="D167" s="109"/>
    </row>
    <row r="168" spans="4:4" ht="14.25" customHeight="1">
      <c r="D168" s="109"/>
    </row>
    <row r="169" spans="4:4" ht="14.25" customHeight="1">
      <c r="D169" s="109"/>
    </row>
    <row r="170" spans="4:4" ht="14.25" customHeight="1">
      <c r="D170" s="109"/>
    </row>
    <row r="171" spans="4:4" ht="14.25" customHeight="1">
      <c r="D171" s="109"/>
    </row>
    <row r="172" spans="4:4" ht="14.25" customHeight="1">
      <c r="D172" s="109"/>
    </row>
    <row r="173" spans="4:4" ht="14.25" customHeight="1">
      <c r="D173" s="109"/>
    </row>
    <row r="174" spans="4:4" ht="14.25" customHeight="1">
      <c r="D174" s="109"/>
    </row>
    <row r="175" spans="4:4" ht="14.25" customHeight="1">
      <c r="D175" s="109"/>
    </row>
    <row r="176" spans="4:4" ht="14.25" customHeight="1">
      <c r="D176" s="109"/>
    </row>
    <row r="177" spans="4:4" ht="14.25" customHeight="1">
      <c r="D177" s="109"/>
    </row>
    <row r="178" spans="4:4" ht="14.25" customHeight="1">
      <c r="D178" s="109"/>
    </row>
    <row r="179" spans="4:4" ht="14.25" customHeight="1">
      <c r="D179" s="109"/>
    </row>
    <row r="180" spans="4:4" ht="14.25" customHeight="1">
      <c r="D180" s="109"/>
    </row>
    <row r="181" spans="4:4" ht="14.25" customHeight="1">
      <c r="D181" s="109"/>
    </row>
    <row r="182" spans="4:4" ht="14.25" customHeight="1">
      <c r="D182" s="109"/>
    </row>
    <row r="183" spans="4:4" ht="14.25" customHeight="1">
      <c r="D183" s="109"/>
    </row>
    <row r="184" spans="4:4" ht="14.25" customHeight="1">
      <c r="D184" s="109"/>
    </row>
    <row r="185" spans="4:4" ht="14.25" customHeight="1">
      <c r="D185" s="109"/>
    </row>
    <row r="186" spans="4:4" ht="14.25" customHeight="1">
      <c r="D186" s="109"/>
    </row>
    <row r="187" spans="4:4" ht="14.25" customHeight="1">
      <c r="D187" s="109"/>
    </row>
    <row r="188" spans="4:4" ht="14.25" customHeight="1">
      <c r="D188" s="109"/>
    </row>
    <row r="189" spans="4:4" ht="14.25" customHeight="1">
      <c r="D189" s="109"/>
    </row>
    <row r="190" spans="4:4" ht="14.25" customHeight="1">
      <c r="D190" s="109"/>
    </row>
    <row r="191" spans="4:4" ht="14.25" customHeight="1">
      <c r="D191" s="109"/>
    </row>
    <row r="192" spans="4:4" ht="14.25" customHeight="1">
      <c r="D192" s="109"/>
    </row>
    <row r="193" spans="4:4" ht="14.25" customHeight="1">
      <c r="D193" s="109"/>
    </row>
    <row r="194" spans="4:4" ht="14.25" customHeight="1">
      <c r="D194" s="109"/>
    </row>
    <row r="195" spans="4:4" ht="14.25" customHeight="1">
      <c r="D195" s="109"/>
    </row>
    <row r="196" spans="4:4" ht="14.25" customHeight="1">
      <c r="D196" s="109"/>
    </row>
    <row r="197" spans="4:4" ht="14.25" customHeight="1">
      <c r="D197" s="109"/>
    </row>
    <row r="198" spans="4:4" ht="14.25" customHeight="1">
      <c r="D198" s="109"/>
    </row>
    <row r="199" spans="4:4" ht="14.25" customHeight="1">
      <c r="D199" s="109"/>
    </row>
    <row r="200" spans="4:4" ht="14.25" customHeight="1">
      <c r="D200" s="109"/>
    </row>
    <row r="201" spans="4:4" ht="14.25" customHeight="1">
      <c r="D201" s="109"/>
    </row>
    <row r="202" spans="4:4" ht="14.25" customHeight="1">
      <c r="D202" s="109"/>
    </row>
    <row r="203" spans="4:4" ht="14.25" customHeight="1">
      <c r="D203" s="109"/>
    </row>
    <row r="204" spans="4:4" ht="14.25" customHeight="1">
      <c r="D204" s="109"/>
    </row>
    <row r="205" spans="4:4" ht="14.25" customHeight="1">
      <c r="D205" s="109"/>
    </row>
    <row r="206" spans="4:4" ht="14.25" customHeight="1">
      <c r="D206" s="109"/>
    </row>
    <row r="207" spans="4:4" ht="14.25" customHeight="1">
      <c r="D207" s="109"/>
    </row>
    <row r="208" spans="4:4" ht="14.25" customHeight="1">
      <c r="D208" s="109"/>
    </row>
    <row r="209" spans="4:4" ht="14.25" customHeight="1">
      <c r="D209" s="109"/>
    </row>
    <row r="210" spans="4:4" ht="14.25" customHeight="1">
      <c r="D210" s="109"/>
    </row>
    <row r="211" spans="4:4" ht="14.25" customHeight="1">
      <c r="D211" s="109"/>
    </row>
    <row r="212" spans="4:4" ht="14.25" customHeight="1">
      <c r="D212" s="109"/>
    </row>
    <row r="213" spans="4:4" ht="14.25" customHeight="1">
      <c r="D213" s="109"/>
    </row>
    <row r="214" spans="4:4" ht="14.25" customHeight="1">
      <c r="D214" s="109"/>
    </row>
    <row r="215" spans="4:4" ht="14.25" customHeight="1">
      <c r="D215" s="109"/>
    </row>
    <row r="216" spans="4:4" ht="14.25" customHeight="1">
      <c r="D216" s="109"/>
    </row>
    <row r="217" spans="4:4" ht="14.25" customHeight="1">
      <c r="D217" s="109"/>
    </row>
    <row r="218" spans="4:4" ht="14.25" customHeight="1">
      <c r="D218" s="109"/>
    </row>
    <row r="219" spans="4:4" ht="14.25" customHeight="1">
      <c r="D219" s="109"/>
    </row>
    <row r="220" spans="4:4" ht="14.25" customHeight="1">
      <c r="D220" s="109"/>
    </row>
    <row r="221" spans="4:4" ht="14.25" customHeight="1">
      <c r="D221" s="109"/>
    </row>
    <row r="222" spans="4:4" ht="14.25" customHeight="1">
      <c r="D222" s="109"/>
    </row>
    <row r="223" spans="4:4" ht="14.25" customHeight="1">
      <c r="D223" s="109"/>
    </row>
    <row r="224" spans="4:4" ht="14.25" customHeight="1">
      <c r="D224" s="109"/>
    </row>
    <row r="225" spans="4:4" ht="14.25" customHeight="1">
      <c r="D225" s="109"/>
    </row>
    <row r="226" spans="4:4" ht="14.25" customHeight="1">
      <c r="D226" s="109"/>
    </row>
    <row r="227" spans="4:4" ht="14.25" customHeight="1">
      <c r="D227" s="109"/>
    </row>
    <row r="228" spans="4:4" ht="14.25" customHeight="1">
      <c r="D228" s="109"/>
    </row>
    <row r="229" spans="4:4" ht="14.25" customHeight="1">
      <c r="D229" s="109"/>
    </row>
    <row r="230" spans="4:4" ht="14.25" customHeight="1">
      <c r="D230" s="109"/>
    </row>
    <row r="231" spans="4:4" ht="14.25" customHeight="1">
      <c r="D231" s="109"/>
    </row>
    <row r="232" spans="4:4" ht="14.25" customHeight="1">
      <c r="D232" s="109"/>
    </row>
    <row r="233" spans="4:4" ht="14.25" customHeight="1">
      <c r="D233" s="109"/>
    </row>
    <row r="234" spans="4:4" ht="14.25" customHeight="1">
      <c r="D234" s="109"/>
    </row>
    <row r="235" spans="4:4" ht="14.25" customHeight="1">
      <c r="D235" s="109"/>
    </row>
    <row r="236" spans="4:4" ht="14.25" customHeight="1">
      <c r="D236" s="109"/>
    </row>
    <row r="237" spans="4:4" ht="14.25" customHeight="1">
      <c r="D237" s="109"/>
    </row>
    <row r="238" spans="4:4" ht="14.25" customHeight="1">
      <c r="D238" s="109"/>
    </row>
    <row r="239" spans="4:4" ht="14.25" customHeight="1">
      <c r="D239" s="109"/>
    </row>
    <row r="240" spans="4:4" ht="14.25" customHeight="1">
      <c r="D240" s="109"/>
    </row>
    <row r="241" spans="4:4" ht="14.25" customHeight="1">
      <c r="D241" s="109"/>
    </row>
    <row r="242" spans="4:4" ht="14.25" customHeight="1">
      <c r="D242" s="109"/>
    </row>
    <row r="243" spans="4:4" ht="14.25" customHeight="1">
      <c r="D243" s="109"/>
    </row>
    <row r="244" spans="4:4" ht="14.25" customHeight="1">
      <c r="D244" s="109"/>
    </row>
    <row r="245" spans="4:4" ht="14.25" customHeight="1">
      <c r="D245" s="109"/>
    </row>
    <row r="246" spans="4:4" ht="14.25" customHeight="1">
      <c r="D246" s="109"/>
    </row>
    <row r="247" spans="4:4" ht="14.25" customHeight="1">
      <c r="D247" s="109"/>
    </row>
    <row r="248" spans="4:4" ht="14.25" customHeight="1">
      <c r="D248" s="109"/>
    </row>
    <row r="249" spans="4:4" ht="14.25" customHeight="1">
      <c r="D249" s="109"/>
    </row>
    <row r="250" spans="4:4" ht="14.25" customHeight="1">
      <c r="D250" s="109"/>
    </row>
    <row r="251" spans="4:4" ht="14.25" customHeight="1">
      <c r="D251" s="109"/>
    </row>
    <row r="252" spans="4:4" ht="14.25" customHeight="1">
      <c r="D252" s="109"/>
    </row>
    <row r="253" spans="4:4" ht="14.25" customHeight="1">
      <c r="D253" s="109"/>
    </row>
    <row r="254" spans="4:4" ht="14.25" customHeight="1">
      <c r="D254" s="109"/>
    </row>
    <row r="255" spans="4:4" ht="14.25" customHeight="1">
      <c r="D255" s="109"/>
    </row>
    <row r="256" spans="4:4" ht="14.25" customHeight="1">
      <c r="D256" s="109"/>
    </row>
    <row r="257" spans="4:4" ht="14.25" customHeight="1">
      <c r="D257" s="109"/>
    </row>
    <row r="258" spans="4:4" ht="14.25" customHeight="1">
      <c r="D258" s="109"/>
    </row>
    <row r="259" spans="4:4" ht="14.25" customHeight="1">
      <c r="D259" s="109"/>
    </row>
    <row r="260" spans="4:4" ht="14.25" customHeight="1">
      <c r="D260" s="109"/>
    </row>
    <row r="261" spans="4:4" ht="14.25" customHeight="1">
      <c r="D261" s="109"/>
    </row>
    <row r="262" spans="4:4" ht="14.25" customHeight="1">
      <c r="D262" s="109"/>
    </row>
    <row r="263" spans="4:4" ht="14.25" customHeight="1">
      <c r="D263" s="109"/>
    </row>
    <row r="264" spans="4:4" ht="14.25" customHeight="1">
      <c r="D264" s="109"/>
    </row>
    <row r="265" spans="4:4" ht="14.25" customHeight="1">
      <c r="D265" s="109"/>
    </row>
    <row r="266" spans="4:4" ht="14.25" customHeight="1">
      <c r="D266" s="109"/>
    </row>
    <row r="267" spans="4:4" ht="14.25" customHeight="1">
      <c r="D267" s="109"/>
    </row>
    <row r="268" spans="4:4" ht="14.25" customHeight="1">
      <c r="D268" s="109"/>
    </row>
    <row r="269" spans="4:4" ht="14.25" customHeight="1">
      <c r="D269" s="109"/>
    </row>
    <row r="270" spans="4:4" ht="14.25" customHeight="1">
      <c r="D270" s="109"/>
    </row>
    <row r="271" spans="4:4" ht="14.25" customHeight="1">
      <c r="D271" s="109"/>
    </row>
    <row r="272" spans="4:4" ht="14.25" customHeight="1">
      <c r="D272" s="109"/>
    </row>
    <row r="273" spans="4:4" ht="14.25" customHeight="1">
      <c r="D273" s="109"/>
    </row>
    <row r="274" spans="4:4" ht="14.25" customHeight="1">
      <c r="D274" s="109"/>
    </row>
    <row r="275" spans="4:4" ht="14.25" customHeight="1">
      <c r="D275" s="109"/>
    </row>
    <row r="276" spans="4:4" ht="14.25" customHeight="1">
      <c r="D276" s="109"/>
    </row>
    <row r="277" spans="4:4" ht="14.25" customHeight="1">
      <c r="D277" s="109"/>
    </row>
    <row r="278" spans="4:4" ht="14.25" customHeight="1">
      <c r="D278" s="109"/>
    </row>
    <row r="279" spans="4:4" ht="14.25" customHeight="1">
      <c r="D279" s="109"/>
    </row>
    <row r="280" spans="4:4" ht="14.25" customHeight="1">
      <c r="D280" s="109"/>
    </row>
    <row r="281" spans="4:4" ht="14.25" customHeight="1">
      <c r="D281" s="109"/>
    </row>
    <row r="282" spans="4:4" ht="14.25" customHeight="1">
      <c r="D282" s="109"/>
    </row>
    <row r="283" spans="4:4" ht="14.25" customHeight="1">
      <c r="D283" s="109"/>
    </row>
    <row r="284" spans="4:4" ht="14.25" customHeight="1">
      <c r="D284" s="109"/>
    </row>
    <row r="285" spans="4:4" ht="14.25" customHeight="1">
      <c r="D285" s="109"/>
    </row>
    <row r="286" spans="4:4" ht="14.25" customHeight="1">
      <c r="D286" s="109"/>
    </row>
    <row r="287" spans="4:4" ht="14.25" customHeight="1">
      <c r="D287" s="109"/>
    </row>
    <row r="288" spans="4:4" ht="14.25" customHeight="1">
      <c r="D288" s="109"/>
    </row>
    <row r="289" spans="4:4" ht="14.25" customHeight="1">
      <c r="D289" s="109"/>
    </row>
    <row r="290" spans="4:4" ht="14.25" customHeight="1">
      <c r="D290" s="109"/>
    </row>
    <row r="291" spans="4:4" ht="14.25" customHeight="1">
      <c r="D291" s="109"/>
    </row>
    <row r="292" spans="4:4" ht="14.25" customHeight="1">
      <c r="D292" s="109"/>
    </row>
    <row r="293" spans="4:4" ht="14.25" customHeight="1">
      <c r="D293" s="109"/>
    </row>
    <row r="294" spans="4:4" ht="14.25" customHeight="1">
      <c r="D294" s="109"/>
    </row>
    <row r="295" spans="4:4" ht="14.25" customHeight="1">
      <c r="D295" s="109"/>
    </row>
    <row r="296" spans="4:4" ht="14.25" customHeight="1">
      <c r="D296" s="109"/>
    </row>
    <row r="297" spans="4:4" ht="14.25" customHeight="1">
      <c r="D297" s="109"/>
    </row>
    <row r="298" spans="4:4" ht="14.25" customHeight="1">
      <c r="D298" s="109"/>
    </row>
    <row r="299" spans="4:4" ht="14.25" customHeight="1">
      <c r="D299" s="109"/>
    </row>
    <row r="300" spans="4:4" ht="14.25" customHeight="1">
      <c r="D300" s="109"/>
    </row>
    <row r="301" spans="4:4" ht="14.25" customHeight="1">
      <c r="D301" s="109"/>
    </row>
    <row r="302" spans="4:4" ht="14.25" customHeight="1">
      <c r="D302" s="109"/>
    </row>
    <row r="303" spans="4:4" ht="14.25" customHeight="1">
      <c r="D303" s="109"/>
    </row>
    <row r="304" spans="4:4" ht="14.25" customHeight="1">
      <c r="D304" s="109"/>
    </row>
    <row r="305" spans="4:4" ht="14.25" customHeight="1">
      <c r="D305" s="109"/>
    </row>
    <row r="306" spans="4:4" ht="14.25" customHeight="1">
      <c r="D306" s="109"/>
    </row>
    <row r="307" spans="4:4" ht="14.25" customHeight="1">
      <c r="D307" s="109"/>
    </row>
    <row r="308" spans="4:4" ht="14.25" customHeight="1">
      <c r="D308" s="109"/>
    </row>
    <row r="309" spans="4:4" ht="14.25" customHeight="1">
      <c r="D309" s="109"/>
    </row>
    <row r="310" spans="4:4" ht="14.25" customHeight="1">
      <c r="D310" s="109"/>
    </row>
    <row r="311" spans="4:4" ht="14.25" customHeight="1">
      <c r="D311" s="109"/>
    </row>
    <row r="312" spans="4:4" ht="14.25" customHeight="1">
      <c r="D312" s="109"/>
    </row>
    <row r="313" spans="4:4" ht="14.25" customHeight="1">
      <c r="D313" s="109"/>
    </row>
    <row r="314" spans="4:4" ht="14.25" customHeight="1">
      <c r="D314" s="109"/>
    </row>
    <row r="315" spans="4:4" ht="14.25" customHeight="1">
      <c r="D315" s="109"/>
    </row>
    <row r="316" spans="4:4" ht="14.25" customHeight="1">
      <c r="D316" s="109"/>
    </row>
    <row r="317" spans="4:4" ht="14.25" customHeight="1">
      <c r="D317" s="109"/>
    </row>
    <row r="318" spans="4:4" ht="14.25" customHeight="1">
      <c r="D318" s="109"/>
    </row>
    <row r="319" spans="4:4" ht="14.25" customHeight="1">
      <c r="D319" s="109"/>
    </row>
    <row r="320" spans="4:4" ht="14.25" customHeight="1">
      <c r="D320" s="109"/>
    </row>
    <row r="321" spans="4:4" ht="14.25" customHeight="1">
      <c r="D321" s="109"/>
    </row>
    <row r="322" spans="4:4" ht="14.25" customHeight="1">
      <c r="D322" s="109"/>
    </row>
    <row r="323" spans="4:4" ht="14.25" customHeight="1">
      <c r="D323" s="109"/>
    </row>
    <row r="324" spans="4:4" ht="14.25" customHeight="1">
      <c r="D324" s="109"/>
    </row>
    <row r="325" spans="4:4" ht="14.25" customHeight="1">
      <c r="D325" s="109"/>
    </row>
    <row r="326" spans="4:4" ht="14.25" customHeight="1">
      <c r="D326" s="109"/>
    </row>
    <row r="327" spans="4:4" ht="14.25" customHeight="1">
      <c r="D327" s="109"/>
    </row>
    <row r="328" spans="4:4" ht="14.25" customHeight="1">
      <c r="D328" s="109"/>
    </row>
    <row r="329" spans="4:4" ht="14.25" customHeight="1">
      <c r="D329" s="109"/>
    </row>
    <row r="330" spans="4:4" ht="14.25" customHeight="1">
      <c r="D330" s="109"/>
    </row>
    <row r="331" spans="4:4" ht="14.25" customHeight="1">
      <c r="D331" s="109"/>
    </row>
    <row r="332" spans="4:4" ht="14.25" customHeight="1">
      <c r="D332" s="109"/>
    </row>
    <row r="333" spans="4:4" ht="14.25" customHeight="1">
      <c r="D333" s="109"/>
    </row>
    <row r="334" spans="4:4" ht="14.25" customHeight="1">
      <c r="D334" s="109"/>
    </row>
    <row r="335" spans="4:4" ht="14.25" customHeight="1">
      <c r="D335" s="109"/>
    </row>
    <row r="336" spans="4:4" ht="14.25" customHeight="1">
      <c r="D336" s="109"/>
    </row>
    <row r="337" spans="4:4" ht="14.25" customHeight="1">
      <c r="D337" s="109"/>
    </row>
    <row r="338" spans="4:4" ht="14.25" customHeight="1">
      <c r="D338" s="109"/>
    </row>
    <row r="339" spans="4:4" ht="14.25" customHeight="1">
      <c r="D339" s="109"/>
    </row>
    <row r="340" spans="4:4" ht="14.25" customHeight="1">
      <c r="D340" s="109"/>
    </row>
    <row r="341" spans="4:4" ht="14.25" customHeight="1">
      <c r="D341" s="109"/>
    </row>
    <row r="342" spans="4:4" ht="14.25" customHeight="1">
      <c r="D342" s="109"/>
    </row>
    <row r="343" spans="4:4" ht="14.25" customHeight="1">
      <c r="D343" s="109"/>
    </row>
    <row r="344" spans="4:4" ht="14.25" customHeight="1">
      <c r="D344" s="109"/>
    </row>
    <row r="345" spans="4:4" ht="14.25" customHeight="1">
      <c r="D345" s="109"/>
    </row>
    <row r="346" spans="4:4" ht="14.25" customHeight="1">
      <c r="D346" s="109"/>
    </row>
    <row r="347" spans="4:4" ht="14.25" customHeight="1">
      <c r="D347" s="109"/>
    </row>
    <row r="348" spans="4:4" ht="14.25" customHeight="1">
      <c r="D348" s="109"/>
    </row>
    <row r="349" spans="4:4" ht="14.25" customHeight="1">
      <c r="D349" s="109"/>
    </row>
    <row r="350" spans="4:4" ht="14.25" customHeight="1">
      <c r="D350" s="109"/>
    </row>
    <row r="351" spans="4:4" ht="14.25" customHeight="1">
      <c r="D351" s="109"/>
    </row>
    <row r="352" spans="4:4" ht="14.25" customHeight="1">
      <c r="D352" s="109"/>
    </row>
    <row r="353" spans="4:4" ht="14.25" customHeight="1">
      <c r="D353" s="109"/>
    </row>
    <row r="354" spans="4:4" ht="14.25" customHeight="1">
      <c r="D354" s="109"/>
    </row>
    <row r="355" spans="4:4" ht="14.25" customHeight="1">
      <c r="D355" s="109"/>
    </row>
    <row r="356" spans="4:4" ht="14.25" customHeight="1">
      <c r="D356" s="109"/>
    </row>
    <row r="357" spans="4:4" ht="14.25" customHeight="1">
      <c r="D357" s="109"/>
    </row>
    <row r="358" spans="4:4" ht="14.25" customHeight="1">
      <c r="D358" s="109"/>
    </row>
    <row r="359" spans="4:4" ht="14.25" customHeight="1">
      <c r="D359" s="109"/>
    </row>
    <row r="360" spans="4:4" ht="14.25" customHeight="1">
      <c r="D360" s="109"/>
    </row>
    <row r="361" spans="4:4" ht="14.25" customHeight="1">
      <c r="D361" s="109"/>
    </row>
    <row r="362" spans="4:4" ht="14.25" customHeight="1">
      <c r="D362" s="109"/>
    </row>
    <row r="363" spans="4:4" ht="14.25" customHeight="1">
      <c r="D363" s="109"/>
    </row>
    <row r="364" spans="4:4" ht="14.25" customHeight="1">
      <c r="D364" s="109"/>
    </row>
    <row r="365" spans="4:4" ht="14.25" customHeight="1">
      <c r="D365" s="109"/>
    </row>
    <row r="366" spans="4:4" ht="14.25" customHeight="1">
      <c r="D366" s="109"/>
    </row>
    <row r="367" spans="4:4" ht="14.25" customHeight="1">
      <c r="D367" s="109"/>
    </row>
    <row r="368" spans="4:4" ht="14.25" customHeight="1">
      <c r="D368" s="109"/>
    </row>
    <row r="369" spans="4:4" ht="14.25" customHeight="1">
      <c r="D369" s="109"/>
    </row>
    <row r="370" spans="4:4" ht="14.25" customHeight="1">
      <c r="D370" s="109"/>
    </row>
    <row r="371" spans="4:4" ht="14.25" customHeight="1">
      <c r="D371" s="109"/>
    </row>
    <row r="372" spans="4:4" ht="14.25" customHeight="1">
      <c r="D372" s="109"/>
    </row>
    <row r="373" spans="4:4" ht="14.25" customHeight="1">
      <c r="D373" s="109"/>
    </row>
    <row r="374" spans="4:4" ht="14.25" customHeight="1">
      <c r="D374" s="109"/>
    </row>
    <row r="375" spans="4:4" ht="14.25" customHeight="1">
      <c r="D375" s="109"/>
    </row>
    <row r="376" spans="4:4" ht="14.25" customHeight="1">
      <c r="D376" s="109"/>
    </row>
    <row r="377" spans="4:4" ht="14.25" customHeight="1">
      <c r="D377" s="109"/>
    </row>
    <row r="378" spans="4:4" ht="14.25" customHeight="1">
      <c r="D378" s="109"/>
    </row>
    <row r="379" spans="4:4" ht="14.25" customHeight="1">
      <c r="D379" s="109"/>
    </row>
    <row r="380" spans="4:4" ht="14.25" customHeight="1">
      <c r="D380" s="109"/>
    </row>
    <row r="381" spans="4:4" ht="14.25" customHeight="1">
      <c r="D381" s="109"/>
    </row>
    <row r="382" spans="4:4" ht="14.25" customHeight="1">
      <c r="D382" s="109"/>
    </row>
    <row r="383" spans="4:4" ht="14.25" customHeight="1">
      <c r="D383" s="109"/>
    </row>
    <row r="384" spans="4:4" ht="14.25" customHeight="1">
      <c r="D384" s="109"/>
    </row>
    <row r="385" spans="4:4" ht="14.25" customHeight="1">
      <c r="D385" s="109"/>
    </row>
    <row r="386" spans="4:4" ht="14.25" customHeight="1">
      <c r="D386" s="109"/>
    </row>
    <row r="387" spans="4:4" ht="14.25" customHeight="1">
      <c r="D387" s="109"/>
    </row>
    <row r="388" spans="4:4" ht="14.25" customHeight="1">
      <c r="D388" s="109"/>
    </row>
    <row r="389" spans="4:4" ht="14.25" customHeight="1">
      <c r="D389" s="109"/>
    </row>
    <row r="390" spans="4:4" ht="14.25" customHeight="1">
      <c r="D390" s="109"/>
    </row>
    <row r="391" spans="4:4" ht="14.25" customHeight="1">
      <c r="D391" s="109"/>
    </row>
    <row r="392" spans="4:4" ht="14.25" customHeight="1">
      <c r="D392" s="109"/>
    </row>
    <row r="393" spans="4:4" ht="14.25" customHeight="1">
      <c r="D393" s="109"/>
    </row>
    <row r="394" spans="4:4" ht="14.25" customHeight="1">
      <c r="D394" s="109"/>
    </row>
    <row r="395" spans="4:4" ht="14.25" customHeight="1">
      <c r="D395" s="109"/>
    </row>
    <row r="396" spans="4:4" ht="14.25" customHeight="1">
      <c r="D396" s="109"/>
    </row>
    <row r="397" spans="4:4" ht="14.25" customHeight="1">
      <c r="D397" s="109"/>
    </row>
    <row r="398" spans="4:4" ht="14.25" customHeight="1">
      <c r="D398" s="109"/>
    </row>
    <row r="399" spans="4:4" ht="14.25" customHeight="1">
      <c r="D399" s="109"/>
    </row>
    <row r="400" spans="4:4" ht="14.25" customHeight="1">
      <c r="D400" s="109"/>
    </row>
    <row r="401" spans="4:4" ht="14.25" customHeight="1">
      <c r="D401" s="109"/>
    </row>
    <row r="402" spans="4:4" ht="14.25" customHeight="1">
      <c r="D402" s="109"/>
    </row>
    <row r="403" spans="4:4" ht="14.25" customHeight="1">
      <c r="D403" s="109"/>
    </row>
    <row r="404" spans="4:4" ht="14.25" customHeight="1">
      <c r="D404" s="109"/>
    </row>
    <row r="405" spans="4:4" ht="14.25" customHeight="1">
      <c r="D405" s="109"/>
    </row>
    <row r="406" spans="4:4" ht="14.25" customHeight="1">
      <c r="D406" s="109"/>
    </row>
    <row r="407" spans="4:4" ht="14.25" customHeight="1">
      <c r="D407" s="109"/>
    </row>
    <row r="408" spans="4:4" ht="14.25" customHeight="1">
      <c r="D408" s="109"/>
    </row>
    <row r="409" spans="4:4" ht="14.25" customHeight="1">
      <c r="D409" s="109"/>
    </row>
    <row r="410" spans="4:4" ht="14.25" customHeight="1">
      <c r="D410" s="109"/>
    </row>
    <row r="411" spans="4:4" ht="14.25" customHeight="1">
      <c r="D411" s="109"/>
    </row>
    <row r="412" spans="4:4" ht="14.25" customHeight="1">
      <c r="D412" s="109"/>
    </row>
    <row r="413" spans="4:4" ht="14.25" customHeight="1">
      <c r="D413" s="109"/>
    </row>
    <row r="414" spans="4:4" ht="14.25" customHeight="1">
      <c r="D414" s="109"/>
    </row>
    <row r="415" spans="4:4" ht="14.25" customHeight="1">
      <c r="D415" s="109"/>
    </row>
    <row r="416" spans="4:4" ht="14.25" customHeight="1">
      <c r="D416" s="109"/>
    </row>
    <row r="417" spans="4:4" ht="14.25" customHeight="1">
      <c r="D417" s="109"/>
    </row>
    <row r="418" spans="4:4" ht="14.25" customHeight="1">
      <c r="D418" s="109"/>
    </row>
    <row r="419" spans="4:4" ht="14.25" customHeight="1">
      <c r="D419" s="109"/>
    </row>
    <row r="420" spans="4:4" ht="14.25" customHeight="1">
      <c r="D420" s="109"/>
    </row>
    <row r="421" spans="4:4" ht="14.25" customHeight="1">
      <c r="D421" s="109"/>
    </row>
    <row r="422" spans="4:4" ht="14.25" customHeight="1">
      <c r="D422" s="109"/>
    </row>
    <row r="423" spans="4:4" ht="14.25" customHeight="1">
      <c r="D423" s="109"/>
    </row>
    <row r="424" spans="4:4" ht="14.25" customHeight="1">
      <c r="D424" s="109"/>
    </row>
    <row r="425" spans="4:4" ht="14.25" customHeight="1">
      <c r="D425" s="109"/>
    </row>
    <row r="426" spans="4:4" ht="14.25" customHeight="1">
      <c r="D426" s="109"/>
    </row>
    <row r="427" spans="4:4" ht="14.25" customHeight="1">
      <c r="D427" s="109"/>
    </row>
    <row r="428" spans="4:4" ht="14.25" customHeight="1">
      <c r="D428" s="109"/>
    </row>
    <row r="429" spans="4:4" ht="14.25" customHeight="1">
      <c r="D429" s="109"/>
    </row>
    <row r="430" spans="4:4" ht="14.25" customHeight="1">
      <c r="D430" s="109"/>
    </row>
    <row r="431" spans="4:4" ht="14.25" customHeight="1">
      <c r="D431" s="109"/>
    </row>
    <row r="432" spans="4:4" ht="14.25" customHeight="1">
      <c r="D432" s="109"/>
    </row>
    <row r="433" spans="4:4" ht="14.25" customHeight="1">
      <c r="D433" s="109"/>
    </row>
    <row r="434" spans="4:4" ht="14.25" customHeight="1">
      <c r="D434" s="109"/>
    </row>
    <row r="435" spans="4:4" ht="14.25" customHeight="1">
      <c r="D435" s="109"/>
    </row>
    <row r="436" spans="4:4" ht="14.25" customHeight="1">
      <c r="D436" s="109"/>
    </row>
    <row r="437" spans="4:4" ht="14.25" customHeight="1">
      <c r="D437" s="109"/>
    </row>
    <row r="438" spans="4:4" ht="14.25" customHeight="1">
      <c r="D438" s="109"/>
    </row>
    <row r="439" spans="4:4" ht="14.25" customHeight="1">
      <c r="D439" s="109"/>
    </row>
    <row r="440" spans="4:4" ht="14.25" customHeight="1">
      <c r="D440" s="109"/>
    </row>
    <row r="441" spans="4:4" ht="14.25" customHeight="1">
      <c r="D441" s="109"/>
    </row>
    <row r="442" spans="4:4" ht="14.25" customHeight="1">
      <c r="D442" s="109"/>
    </row>
    <row r="443" spans="4:4" ht="14.25" customHeight="1">
      <c r="D443" s="109"/>
    </row>
    <row r="444" spans="4:4" ht="14.25" customHeight="1">
      <c r="D444" s="109"/>
    </row>
    <row r="445" spans="4:4" ht="14.25" customHeight="1">
      <c r="D445" s="109"/>
    </row>
    <row r="446" spans="4:4" ht="14.25" customHeight="1">
      <c r="D446" s="109"/>
    </row>
    <row r="447" spans="4:4" ht="14.25" customHeight="1">
      <c r="D447" s="109"/>
    </row>
    <row r="448" spans="4:4" ht="14.25" customHeight="1">
      <c r="D448" s="109"/>
    </row>
    <row r="449" spans="4:4" ht="14.25" customHeight="1">
      <c r="D449" s="109"/>
    </row>
    <row r="450" spans="4:4" ht="14.25" customHeight="1">
      <c r="D450" s="109"/>
    </row>
    <row r="451" spans="4:4" ht="14.25" customHeight="1">
      <c r="D451" s="109"/>
    </row>
    <row r="452" spans="4:4" ht="14.25" customHeight="1">
      <c r="D452" s="109"/>
    </row>
    <row r="453" spans="4:4" ht="14.25" customHeight="1">
      <c r="D453" s="109"/>
    </row>
    <row r="454" spans="4:4" ht="14.25" customHeight="1">
      <c r="D454" s="109"/>
    </row>
    <row r="455" spans="4:4" ht="14.25" customHeight="1">
      <c r="D455" s="109"/>
    </row>
    <row r="456" spans="4:4" ht="14.25" customHeight="1">
      <c r="D456" s="109"/>
    </row>
    <row r="457" spans="4:4" ht="14.25" customHeight="1">
      <c r="D457" s="109"/>
    </row>
    <row r="458" spans="4:4" ht="14.25" customHeight="1">
      <c r="D458" s="109"/>
    </row>
    <row r="459" spans="4:4" ht="14.25" customHeight="1">
      <c r="D459" s="109"/>
    </row>
    <row r="460" spans="4:4" ht="14.25" customHeight="1">
      <c r="D460" s="109"/>
    </row>
    <row r="461" spans="4:4" ht="14.25" customHeight="1">
      <c r="D461" s="109"/>
    </row>
    <row r="462" spans="4:4" ht="14.25" customHeight="1">
      <c r="D462" s="109"/>
    </row>
    <row r="463" spans="4:4" ht="14.25" customHeight="1">
      <c r="D463" s="109"/>
    </row>
    <row r="464" spans="4:4" ht="14.25" customHeight="1">
      <c r="D464" s="109"/>
    </row>
    <row r="465" spans="4:4" ht="14.25" customHeight="1">
      <c r="D465" s="109"/>
    </row>
    <row r="466" spans="4:4" ht="14.25" customHeight="1">
      <c r="D466" s="109"/>
    </row>
    <row r="467" spans="4:4" ht="14.25" customHeight="1">
      <c r="D467" s="109"/>
    </row>
    <row r="468" spans="4:4" ht="14.25" customHeight="1">
      <c r="D468" s="109"/>
    </row>
    <row r="469" spans="4:4" ht="14.25" customHeight="1">
      <c r="D469" s="109"/>
    </row>
    <row r="470" spans="4:4" ht="14.25" customHeight="1">
      <c r="D470" s="109"/>
    </row>
    <row r="471" spans="4:4" ht="14.25" customHeight="1">
      <c r="D471" s="109"/>
    </row>
    <row r="472" spans="4:4" ht="14.25" customHeight="1">
      <c r="D472" s="109"/>
    </row>
    <row r="473" spans="4:4" ht="14.25" customHeight="1">
      <c r="D473" s="109"/>
    </row>
    <row r="474" spans="4:4" ht="14.25" customHeight="1">
      <c r="D474" s="109"/>
    </row>
    <row r="475" spans="4:4" ht="14.25" customHeight="1">
      <c r="D475" s="109"/>
    </row>
    <row r="476" spans="4:4" ht="14.25" customHeight="1">
      <c r="D476" s="109"/>
    </row>
    <row r="477" spans="4:4" ht="14.25" customHeight="1">
      <c r="D477" s="109"/>
    </row>
    <row r="478" spans="4:4" ht="14.25" customHeight="1">
      <c r="D478" s="109"/>
    </row>
    <row r="479" spans="4:4" ht="14.25" customHeight="1">
      <c r="D479" s="109"/>
    </row>
    <row r="480" spans="4:4" ht="14.25" customHeight="1">
      <c r="D480" s="109"/>
    </row>
    <row r="481" spans="4:4" ht="14.25" customHeight="1">
      <c r="D481" s="109"/>
    </row>
    <row r="482" spans="4:4" ht="14.25" customHeight="1">
      <c r="D482" s="109"/>
    </row>
    <row r="483" spans="4:4" ht="14.25" customHeight="1">
      <c r="D483" s="109"/>
    </row>
    <row r="484" spans="4:4" ht="14.25" customHeight="1">
      <c r="D484" s="109"/>
    </row>
    <row r="485" spans="4:4" ht="14.25" customHeight="1">
      <c r="D485" s="109"/>
    </row>
    <row r="486" spans="4:4" ht="14.25" customHeight="1">
      <c r="D486" s="109"/>
    </row>
    <row r="487" spans="4:4" ht="14.25" customHeight="1">
      <c r="D487" s="109"/>
    </row>
    <row r="488" spans="4:4" ht="14.25" customHeight="1">
      <c r="D488" s="109"/>
    </row>
    <row r="489" spans="4:4" ht="14.25" customHeight="1">
      <c r="D489" s="109"/>
    </row>
    <row r="490" spans="4:4" ht="14.25" customHeight="1">
      <c r="D490" s="109"/>
    </row>
    <row r="491" spans="4:4" ht="14.25" customHeight="1">
      <c r="D491" s="109"/>
    </row>
    <row r="492" spans="4:4" ht="14.25" customHeight="1">
      <c r="D492" s="109"/>
    </row>
    <row r="493" spans="4:4" ht="14.25" customHeight="1">
      <c r="D493" s="109"/>
    </row>
    <row r="494" spans="4:4" ht="14.25" customHeight="1">
      <c r="D494" s="109"/>
    </row>
    <row r="495" spans="4:4" ht="14.25" customHeight="1">
      <c r="D495" s="109"/>
    </row>
    <row r="496" spans="4:4" ht="14.25" customHeight="1">
      <c r="D496" s="109"/>
    </row>
    <row r="497" spans="4:4" ht="14.25" customHeight="1">
      <c r="D497" s="109"/>
    </row>
    <row r="498" spans="4:4" ht="14.25" customHeight="1">
      <c r="D498" s="109"/>
    </row>
    <row r="499" spans="4:4" ht="14.25" customHeight="1">
      <c r="D499" s="109"/>
    </row>
    <row r="500" spans="4:4" ht="14.25" customHeight="1">
      <c r="D500" s="109"/>
    </row>
    <row r="501" spans="4:4" ht="14.25" customHeight="1">
      <c r="D501" s="109"/>
    </row>
    <row r="502" spans="4:4" ht="14.25" customHeight="1">
      <c r="D502" s="109"/>
    </row>
    <row r="503" spans="4:4" ht="14.25" customHeight="1">
      <c r="D503" s="109"/>
    </row>
    <row r="504" spans="4:4" ht="14.25" customHeight="1">
      <c r="D504" s="109"/>
    </row>
    <row r="505" spans="4:4" ht="14.25" customHeight="1">
      <c r="D505" s="109"/>
    </row>
    <row r="506" spans="4:4" ht="14.25" customHeight="1">
      <c r="D506" s="109"/>
    </row>
    <row r="507" spans="4:4" ht="14.25" customHeight="1">
      <c r="D507" s="109"/>
    </row>
    <row r="508" spans="4:4" ht="14.25" customHeight="1">
      <c r="D508" s="109"/>
    </row>
    <row r="509" spans="4:4" ht="14.25" customHeight="1">
      <c r="D509" s="109"/>
    </row>
    <row r="510" spans="4:4" ht="14.25" customHeight="1">
      <c r="D510" s="109"/>
    </row>
    <row r="511" spans="4:4" ht="14.25" customHeight="1">
      <c r="D511" s="109"/>
    </row>
    <row r="512" spans="4:4" ht="14.25" customHeight="1">
      <c r="D512" s="109"/>
    </row>
    <row r="513" spans="4:4" ht="14.25" customHeight="1">
      <c r="D513" s="109"/>
    </row>
    <row r="514" spans="4:4" ht="14.25" customHeight="1">
      <c r="D514" s="109"/>
    </row>
    <row r="515" spans="4:4" ht="14.25" customHeight="1">
      <c r="D515" s="109"/>
    </row>
    <row r="516" spans="4:4" ht="14.25" customHeight="1">
      <c r="D516" s="109"/>
    </row>
    <row r="517" spans="4:4" ht="14.25" customHeight="1">
      <c r="D517" s="109"/>
    </row>
    <row r="518" spans="4:4" ht="14.25" customHeight="1">
      <c r="D518" s="109"/>
    </row>
    <row r="519" spans="4:4" ht="14.25" customHeight="1">
      <c r="D519" s="109"/>
    </row>
    <row r="520" spans="4:4" ht="14.25" customHeight="1">
      <c r="D520" s="109"/>
    </row>
    <row r="521" spans="4:4" ht="14.25" customHeight="1">
      <c r="D521" s="109"/>
    </row>
    <row r="522" spans="4:4" ht="14.25" customHeight="1">
      <c r="D522" s="109"/>
    </row>
    <row r="523" spans="4:4" ht="14.25" customHeight="1">
      <c r="D523" s="109"/>
    </row>
    <row r="524" spans="4:4" ht="14.25" customHeight="1">
      <c r="D524" s="109"/>
    </row>
    <row r="525" spans="4:4" ht="14.25" customHeight="1">
      <c r="D525" s="109"/>
    </row>
    <row r="526" spans="4:4" ht="14.25" customHeight="1">
      <c r="D526" s="109"/>
    </row>
    <row r="527" spans="4:4" ht="14.25" customHeight="1">
      <c r="D527" s="109"/>
    </row>
    <row r="528" spans="4:4" ht="14.25" customHeight="1">
      <c r="D528" s="109"/>
    </row>
    <row r="529" spans="4:4" ht="14.25" customHeight="1">
      <c r="D529" s="109"/>
    </row>
    <row r="530" spans="4:4" ht="14.25" customHeight="1">
      <c r="D530" s="109"/>
    </row>
    <row r="531" spans="4:4" ht="14.25" customHeight="1">
      <c r="D531" s="109"/>
    </row>
    <row r="532" spans="4:4" ht="14.25" customHeight="1">
      <c r="D532" s="109"/>
    </row>
    <row r="533" spans="4:4" ht="14.25" customHeight="1">
      <c r="D533" s="109"/>
    </row>
    <row r="534" spans="4:4" ht="14.25" customHeight="1">
      <c r="D534" s="109"/>
    </row>
    <row r="535" spans="4:4" ht="14.25" customHeight="1">
      <c r="D535" s="109"/>
    </row>
    <row r="536" spans="4:4" ht="14.25" customHeight="1">
      <c r="D536" s="109"/>
    </row>
    <row r="537" spans="4:4" ht="14.25" customHeight="1">
      <c r="D537" s="109"/>
    </row>
    <row r="538" spans="4:4" ht="14.25" customHeight="1">
      <c r="D538" s="109"/>
    </row>
    <row r="539" spans="4:4" ht="14.25" customHeight="1">
      <c r="D539" s="109"/>
    </row>
    <row r="540" spans="4:4" ht="14.25" customHeight="1">
      <c r="D540" s="109"/>
    </row>
    <row r="541" spans="4:4" ht="14.25" customHeight="1">
      <c r="D541" s="109"/>
    </row>
    <row r="542" spans="4:4" ht="14.25" customHeight="1">
      <c r="D542" s="109"/>
    </row>
    <row r="543" spans="4:4" ht="14.25" customHeight="1">
      <c r="D543" s="109"/>
    </row>
    <row r="544" spans="4:4" ht="14.25" customHeight="1">
      <c r="D544" s="109"/>
    </row>
    <row r="545" spans="4:4" ht="14.25" customHeight="1">
      <c r="D545" s="109"/>
    </row>
    <row r="546" spans="4:4" ht="14.25" customHeight="1">
      <c r="D546" s="109"/>
    </row>
    <row r="547" spans="4:4" ht="14.25" customHeight="1">
      <c r="D547" s="109"/>
    </row>
    <row r="548" spans="4:4" ht="14.25" customHeight="1">
      <c r="D548" s="109"/>
    </row>
    <row r="549" spans="4:4" ht="14.25" customHeight="1">
      <c r="D549" s="109"/>
    </row>
    <row r="550" spans="4:4" ht="14.25" customHeight="1">
      <c r="D550" s="109"/>
    </row>
    <row r="551" spans="4:4" ht="14.25" customHeight="1">
      <c r="D551" s="109"/>
    </row>
    <row r="552" spans="4:4" ht="14.25" customHeight="1">
      <c r="D552" s="109"/>
    </row>
    <row r="553" spans="4:4" ht="14.25" customHeight="1">
      <c r="D553" s="109"/>
    </row>
    <row r="554" spans="4:4" ht="14.25" customHeight="1">
      <c r="D554" s="109"/>
    </row>
    <row r="555" spans="4:4" ht="14.25" customHeight="1">
      <c r="D555" s="109"/>
    </row>
    <row r="556" spans="4:4" ht="14.25" customHeight="1">
      <c r="D556" s="109"/>
    </row>
    <row r="557" spans="4:4" ht="14.25" customHeight="1">
      <c r="D557" s="109"/>
    </row>
    <row r="558" spans="4:4" ht="14.25" customHeight="1">
      <c r="D558" s="109"/>
    </row>
    <row r="559" spans="4:4" ht="14.25" customHeight="1">
      <c r="D559" s="109"/>
    </row>
    <row r="560" spans="4:4" ht="14.25" customHeight="1">
      <c r="D560" s="109"/>
    </row>
    <row r="561" spans="4:4" ht="14.25" customHeight="1">
      <c r="D561" s="109"/>
    </row>
    <row r="562" spans="4:4" ht="14.25" customHeight="1">
      <c r="D562" s="109"/>
    </row>
    <row r="563" spans="4:4" ht="14.25" customHeight="1">
      <c r="D563" s="109"/>
    </row>
    <row r="564" spans="4:4" ht="14.25" customHeight="1">
      <c r="D564" s="109"/>
    </row>
    <row r="565" spans="4:4" ht="14.25" customHeight="1">
      <c r="D565" s="109"/>
    </row>
    <row r="566" spans="4:4" ht="14.25" customHeight="1">
      <c r="D566" s="109"/>
    </row>
    <row r="567" spans="4:4" ht="14.25" customHeight="1">
      <c r="D567" s="109"/>
    </row>
    <row r="568" spans="4:4" ht="14.25" customHeight="1">
      <c r="D568" s="109"/>
    </row>
    <row r="569" spans="4:4" ht="14.25" customHeight="1">
      <c r="D569" s="109"/>
    </row>
    <row r="570" spans="4:4" ht="14.25" customHeight="1">
      <c r="D570" s="109"/>
    </row>
    <row r="571" spans="4:4" ht="14.25" customHeight="1">
      <c r="D571" s="109"/>
    </row>
    <row r="572" spans="4:4" ht="14.25" customHeight="1">
      <c r="D572" s="109"/>
    </row>
    <row r="573" spans="4:4" ht="14.25" customHeight="1">
      <c r="D573" s="109"/>
    </row>
    <row r="574" spans="4:4" ht="14.25" customHeight="1">
      <c r="D574" s="109"/>
    </row>
    <row r="575" spans="4:4" ht="14.25" customHeight="1">
      <c r="D575" s="109"/>
    </row>
    <row r="576" spans="4:4" ht="14.25" customHeight="1">
      <c r="D576" s="109"/>
    </row>
    <row r="577" spans="4:4" ht="14.25" customHeight="1">
      <c r="D577" s="109"/>
    </row>
    <row r="578" spans="4:4" ht="14.25" customHeight="1">
      <c r="D578" s="109"/>
    </row>
    <row r="579" spans="4:4" ht="14.25" customHeight="1">
      <c r="D579" s="109"/>
    </row>
    <row r="580" spans="4:4" ht="14.25" customHeight="1">
      <c r="D580" s="109"/>
    </row>
    <row r="581" spans="4:4" ht="14.25" customHeight="1">
      <c r="D581" s="109"/>
    </row>
    <row r="582" spans="4:4" ht="14.25" customHeight="1">
      <c r="D582" s="109"/>
    </row>
    <row r="583" spans="4:4" ht="14.25" customHeight="1">
      <c r="D583" s="109"/>
    </row>
    <row r="584" spans="4:4" ht="14.25" customHeight="1">
      <c r="D584" s="109"/>
    </row>
    <row r="585" spans="4:4" ht="14.25" customHeight="1">
      <c r="D585" s="109"/>
    </row>
    <row r="586" spans="4:4" ht="14.25" customHeight="1">
      <c r="D586" s="109"/>
    </row>
    <row r="587" spans="4:4" ht="14.25" customHeight="1">
      <c r="D587" s="109"/>
    </row>
    <row r="588" spans="4:4" ht="14.25" customHeight="1">
      <c r="D588" s="109"/>
    </row>
    <row r="589" spans="4:4" ht="14.25" customHeight="1">
      <c r="D589" s="109"/>
    </row>
    <row r="590" spans="4:4" ht="14.25" customHeight="1">
      <c r="D590" s="109"/>
    </row>
    <row r="591" spans="4:4" ht="14.25" customHeight="1">
      <c r="D591" s="109"/>
    </row>
    <row r="592" spans="4:4" ht="14.25" customHeight="1">
      <c r="D592" s="109"/>
    </row>
    <row r="593" spans="4:4" ht="14.25" customHeight="1">
      <c r="D593" s="109"/>
    </row>
    <row r="594" spans="4:4" ht="14.25" customHeight="1">
      <c r="D594" s="109"/>
    </row>
    <row r="595" spans="4:4" ht="14.25" customHeight="1">
      <c r="D595" s="109"/>
    </row>
    <row r="596" spans="4:4" ht="14.25" customHeight="1">
      <c r="D596" s="109"/>
    </row>
    <row r="597" spans="4:4" ht="14.25" customHeight="1">
      <c r="D597" s="109"/>
    </row>
    <row r="598" spans="4:4" ht="14.25" customHeight="1">
      <c r="D598" s="109"/>
    </row>
    <row r="599" spans="4:4" ht="14.25" customHeight="1">
      <c r="D599" s="109"/>
    </row>
    <row r="600" spans="4:4" ht="14.25" customHeight="1">
      <c r="D600" s="109"/>
    </row>
    <row r="601" spans="4:4" ht="14.25" customHeight="1">
      <c r="D601" s="109"/>
    </row>
    <row r="602" spans="4:4" ht="14.25" customHeight="1">
      <c r="D602" s="109"/>
    </row>
    <row r="603" spans="4:4" ht="14.25" customHeight="1">
      <c r="D603" s="109"/>
    </row>
    <row r="604" spans="4:4" ht="14.25" customHeight="1">
      <c r="D604" s="109"/>
    </row>
    <row r="605" spans="4:4" ht="14.25" customHeight="1">
      <c r="D605" s="109"/>
    </row>
    <row r="606" spans="4:4" ht="14.25" customHeight="1">
      <c r="D606" s="109"/>
    </row>
    <row r="607" spans="4:4" ht="14.25" customHeight="1">
      <c r="D607" s="109"/>
    </row>
    <row r="608" spans="4:4" ht="14.25" customHeight="1">
      <c r="D608" s="109"/>
    </row>
    <row r="609" spans="4:4" ht="14.25" customHeight="1">
      <c r="D609" s="109"/>
    </row>
    <row r="610" spans="4:4" ht="14.25" customHeight="1">
      <c r="D610" s="109"/>
    </row>
    <row r="611" spans="4:4" ht="14.25" customHeight="1">
      <c r="D611" s="109"/>
    </row>
    <row r="612" spans="4:4" ht="14.25" customHeight="1">
      <c r="D612" s="109"/>
    </row>
    <row r="613" spans="4:4" ht="14.25" customHeight="1">
      <c r="D613" s="109"/>
    </row>
    <row r="614" spans="4:4" ht="14.25" customHeight="1">
      <c r="D614" s="109"/>
    </row>
    <row r="615" spans="4:4" ht="14.25" customHeight="1">
      <c r="D615" s="109"/>
    </row>
    <row r="616" spans="4:4" ht="14.25" customHeight="1">
      <c r="D616" s="109"/>
    </row>
    <row r="617" spans="4:4" ht="14.25" customHeight="1">
      <c r="D617" s="109"/>
    </row>
    <row r="618" spans="4:4" ht="14.25" customHeight="1">
      <c r="D618" s="109"/>
    </row>
    <row r="619" spans="4:4" ht="14.25" customHeight="1">
      <c r="D619" s="109"/>
    </row>
    <row r="620" spans="4:4" ht="14.25" customHeight="1">
      <c r="D620" s="109"/>
    </row>
    <row r="621" spans="4:4" ht="14.25" customHeight="1">
      <c r="D621" s="109"/>
    </row>
    <row r="622" spans="4:4" ht="14.25" customHeight="1">
      <c r="D622" s="109"/>
    </row>
    <row r="623" spans="4:4" ht="14.25" customHeight="1">
      <c r="D623" s="109"/>
    </row>
    <row r="624" spans="4:4" ht="14.25" customHeight="1">
      <c r="D624" s="109"/>
    </row>
    <row r="625" spans="4:4" ht="14.25" customHeight="1">
      <c r="D625" s="109"/>
    </row>
    <row r="626" spans="4:4" ht="14.25" customHeight="1">
      <c r="D626" s="109"/>
    </row>
    <row r="627" spans="4:4" ht="14.25" customHeight="1">
      <c r="D627" s="109"/>
    </row>
    <row r="628" spans="4:4" ht="14.25" customHeight="1">
      <c r="D628" s="109"/>
    </row>
    <row r="629" spans="4:4" ht="14.25" customHeight="1">
      <c r="D629" s="109"/>
    </row>
    <row r="630" spans="4:4" ht="14.25" customHeight="1">
      <c r="D630" s="109"/>
    </row>
    <row r="631" spans="4:4" ht="14.25" customHeight="1">
      <c r="D631" s="109"/>
    </row>
    <row r="632" spans="4:4" ht="14.25" customHeight="1">
      <c r="D632" s="109"/>
    </row>
    <row r="633" spans="4:4" ht="14.25" customHeight="1">
      <c r="D633" s="109"/>
    </row>
    <row r="634" spans="4:4" ht="14.25" customHeight="1">
      <c r="D634" s="109"/>
    </row>
    <row r="635" spans="4:4" ht="14.25" customHeight="1">
      <c r="D635" s="109"/>
    </row>
    <row r="636" spans="4:4" ht="14.25" customHeight="1">
      <c r="D636" s="109"/>
    </row>
    <row r="637" spans="4:4" ht="14.25" customHeight="1">
      <c r="D637" s="109"/>
    </row>
    <row r="638" spans="4:4" ht="14.25" customHeight="1">
      <c r="D638" s="109"/>
    </row>
    <row r="639" spans="4:4" ht="14.25" customHeight="1">
      <c r="D639" s="109"/>
    </row>
    <row r="640" spans="4:4" ht="14.25" customHeight="1">
      <c r="D640" s="109"/>
    </row>
    <row r="641" spans="4:4" ht="14.25" customHeight="1">
      <c r="D641" s="109"/>
    </row>
    <row r="642" spans="4:4" ht="14.25" customHeight="1">
      <c r="D642" s="109"/>
    </row>
    <row r="643" spans="4:4" ht="14.25" customHeight="1">
      <c r="D643" s="109"/>
    </row>
    <row r="644" spans="4:4" ht="14.25" customHeight="1">
      <c r="D644" s="109"/>
    </row>
    <row r="645" spans="4:4" ht="14.25" customHeight="1">
      <c r="D645" s="109"/>
    </row>
    <row r="646" spans="4:4" ht="14.25" customHeight="1">
      <c r="D646" s="109"/>
    </row>
    <row r="647" spans="4:4" ht="14.25" customHeight="1">
      <c r="D647" s="109"/>
    </row>
    <row r="648" spans="4:4" ht="14.25" customHeight="1">
      <c r="D648" s="109"/>
    </row>
    <row r="649" spans="4:4" ht="14.25" customHeight="1">
      <c r="D649" s="109"/>
    </row>
    <row r="650" spans="4:4" ht="14.25" customHeight="1">
      <c r="D650" s="109"/>
    </row>
    <row r="651" spans="4:4" ht="14.25" customHeight="1">
      <c r="D651" s="109"/>
    </row>
    <row r="652" spans="4:4" ht="14.25" customHeight="1">
      <c r="D652" s="109"/>
    </row>
    <row r="653" spans="4:4" ht="14.25" customHeight="1">
      <c r="D653" s="109"/>
    </row>
    <row r="654" spans="4:4" ht="14.25" customHeight="1">
      <c r="D654" s="109"/>
    </row>
    <row r="655" spans="4:4" ht="14.25" customHeight="1">
      <c r="D655" s="109"/>
    </row>
    <row r="656" spans="4:4" ht="14.25" customHeight="1">
      <c r="D656" s="109"/>
    </row>
    <row r="657" spans="4:4" ht="14.25" customHeight="1">
      <c r="D657" s="109"/>
    </row>
    <row r="658" spans="4:4" ht="14.25" customHeight="1">
      <c r="D658" s="109"/>
    </row>
    <row r="659" spans="4:4" ht="14.25" customHeight="1">
      <c r="D659" s="109"/>
    </row>
    <row r="660" spans="4:4" ht="14.25" customHeight="1">
      <c r="D660" s="109"/>
    </row>
    <row r="661" spans="4:4" ht="14.25" customHeight="1">
      <c r="D661" s="109"/>
    </row>
    <row r="662" spans="4:4" ht="14.25" customHeight="1">
      <c r="D662" s="109"/>
    </row>
    <row r="663" spans="4:4" ht="14.25" customHeight="1">
      <c r="D663" s="109"/>
    </row>
    <row r="664" spans="4:4" ht="14.25" customHeight="1">
      <c r="D664" s="109"/>
    </row>
    <row r="665" spans="4:4" ht="14.25" customHeight="1">
      <c r="D665" s="109"/>
    </row>
    <row r="666" spans="4:4" ht="14.25" customHeight="1">
      <c r="D666" s="109"/>
    </row>
    <row r="667" spans="4:4" ht="14.25" customHeight="1">
      <c r="D667" s="109"/>
    </row>
    <row r="668" spans="4:4" ht="14.25" customHeight="1">
      <c r="D668" s="109"/>
    </row>
    <row r="669" spans="4:4" ht="14.25" customHeight="1">
      <c r="D669" s="109"/>
    </row>
    <row r="670" spans="4:4" ht="14.25" customHeight="1">
      <c r="D670" s="109"/>
    </row>
    <row r="671" spans="4:4" ht="14.25" customHeight="1">
      <c r="D671" s="109"/>
    </row>
    <row r="672" spans="4:4" ht="14.25" customHeight="1">
      <c r="D672" s="109"/>
    </row>
    <row r="673" spans="4:4" ht="14.25" customHeight="1">
      <c r="D673" s="109"/>
    </row>
    <row r="674" spans="4:4" ht="14.25" customHeight="1">
      <c r="D674" s="109"/>
    </row>
    <row r="675" spans="4:4" ht="14.25" customHeight="1">
      <c r="D675" s="109"/>
    </row>
    <row r="676" spans="4:4" ht="14.25" customHeight="1">
      <c r="D676" s="109"/>
    </row>
    <row r="677" spans="4:4" ht="14.25" customHeight="1">
      <c r="D677" s="109"/>
    </row>
    <row r="678" spans="4:4" ht="14.25" customHeight="1">
      <c r="D678" s="109"/>
    </row>
    <row r="679" spans="4:4" ht="14.25" customHeight="1">
      <c r="D679" s="109"/>
    </row>
    <row r="680" spans="4:4" ht="14.25" customHeight="1">
      <c r="D680" s="109"/>
    </row>
    <row r="681" spans="4:4" ht="14.25" customHeight="1">
      <c r="D681" s="109"/>
    </row>
    <row r="682" spans="4:4" ht="14.25" customHeight="1">
      <c r="D682" s="109"/>
    </row>
    <row r="683" spans="4:4" ht="14.25" customHeight="1">
      <c r="D683" s="109"/>
    </row>
    <row r="684" spans="4:4" ht="14.25" customHeight="1">
      <c r="D684" s="109"/>
    </row>
    <row r="685" spans="4:4" ht="14.25" customHeight="1">
      <c r="D685" s="109"/>
    </row>
    <row r="686" spans="4:4" ht="14.25" customHeight="1">
      <c r="D686" s="109"/>
    </row>
    <row r="687" spans="4:4" ht="14.25" customHeight="1">
      <c r="D687" s="109"/>
    </row>
    <row r="688" spans="4:4" ht="14.25" customHeight="1">
      <c r="D688" s="109"/>
    </row>
    <row r="689" spans="4:4" ht="14.25" customHeight="1">
      <c r="D689" s="109"/>
    </row>
    <row r="690" spans="4:4" ht="14.25" customHeight="1">
      <c r="D690" s="109"/>
    </row>
    <row r="691" spans="4:4" ht="14.25" customHeight="1">
      <c r="D691" s="109"/>
    </row>
    <row r="692" spans="4:4" ht="14.25" customHeight="1">
      <c r="D692" s="109"/>
    </row>
    <row r="693" spans="4:4" ht="14.25" customHeight="1">
      <c r="D693" s="109"/>
    </row>
    <row r="694" spans="4:4" ht="14.25" customHeight="1">
      <c r="D694" s="109"/>
    </row>
    <row r="695" spans="4:4" ht="14.25" customHeight="1">
      <c r="D695" s="109"/>
    </row>
    <row r="696" spans="4:4" ht="14.25" customHeight="1">
      <c r="D696" s="109"/>
    </row>
    <row r="697" spans="4:4" ht="14.25" customHeight="1">
      <c r="D697" s="109"/>
    </row>
    <row r="698" spans="4:4" ht="14.25" customHeight="1">
      <c r="D698" s="109"/>
    </row>
    <row r="699" spans="4:4" ht="14.25" customHeight="1">
      <c r="D699" s="109"/>
    </row>
    <row r="700" spans="4:4" ht="14.25" customHeight="1">
      <c r="D700" s="109"/>
    </row>
    <row r="701" spans="4:4" ht="14.25" customHeight="1">
      <c r="D701" s="109"/>
    </row>
    <row r="702" spans="4:4" ht="14.25" customHeight="1">
      <c r="D702" s="109"/>
    </row>
    <row r="703" spans="4:4" ht="14.25" customHeight="1">
      <c r="D703" s="109"/>
    </row>
    <row r="704" spans="4:4" ht="14.25" customHeight="1">
      <c r="D704" s="109"/>
    </row>
    <row r="705" spans="4:4" ht="14.25" customHeight="1">
      <c r="D705" s="109"/>
    </row>
    <row r="706" spans="4:4" ht="14.25" customHeight="1">
      <c r="D706" s="109"/>
    </row>
    <row r="707" spans="4:4" ht="14.25" customHeight="1">
      <c r="D707" s="109"/>
    </row>
    <row r="708" spans="4:4" ht="14.25" customHeight="1">
      <c r="D708" s="109"/>
    </row>
    <row r="709" spans="4:4" ht="14.25" customHeight="1">
      <c r="D709" s="109"/>
    </row>
    <row r="710" spans="4:4" ht="14.25" customHeight="1">
      <c r="D710" s="109"/>
    </row>
    <row r="711" spans="4:4" ht="14.25" customHeight="1">
      <c r="D711" s="109"/>
    </row>
    <row r="712" spans="4:4" ht="14.25" customHeight="1">
      <c r="D712" s="109"/>
    </row>
    <row r="713" spans="4:4" ht="14.25" customHeight="1">
      <c r="D713" s="109"/>
    </row>
    <row r="714" spans="4:4" ht="14.25" customHeight="1">
      <c r="D714" s="109"/>
    </row>
    <row r="715" spans="4:4" ht="14.25" customHeight="1">
      <c r="D715" s="109"/>
    </row>
    <row r="716" spans="4:4" ht="14.25" customHeight="1">
      <c r="D716" s="109"/>
    </row>
    <row r="717" spans="4:4" ht="14.25" customHeight="1">
      <c r="D717" s="109"/>
    </row>
    <row r="718" spans="4:4" ht="14.25" customHeight="1">
      <c r="D718" s="109"/>
    </row>
    <row r="719" spans="4:4" ht="14.25" customHeight="1">
      <c r="D719" s="109"/>
    </row>
    <row r="720" spans="4:4" ht="14.25" customHeight="1">
      <c r="D720" s="109"/>
    </row>
    <row r="721" spans="4:4" ht="14.25" customHeight="1">
      <c r="D721" s="109"/>
    </row>
    <row r="722" spans="4:4" ht="14.25" customHeight="1">
      <c r="D722" s="109"/>
    </row>
    <row r="723" spans="4:4" ht="14.25" customHeight="1">
      <c r="D723" s="109"/>
    </row>
    <row r="724" spans="4:4" ht="14.25" customHeight="1">
      <c r="D724" s="109"/>
    </row>
    <row r="725" spans="4:4" ht="14.25" customHeight="1">
      <c r="D725" s="109"/>
    </row>
    <row r="726" spans="4:4" ht="14.25" customHeight="1">
      <c r="D726" s="109"/>
    </row>
    <row r="727" spans="4:4" ht="14.25" customHeight="1">
      <c r="D727" s="109"/>
    </row>
    <row r="728" spans="4:4" ht="14.25" customHeight="1">
      <c r="D728" s="109"/>
    </row>
    <row r="729" spans="4:4" ht="14.25" customHeight="1">
      <c r="D729" s="109"/>
    </row>
    <row r="730" spans="4:4" ht="14.25" customHeight="1">
      <c r="D730" s="109"/>
    </row>
    <row r="731" spans="4:4" ht="14.25" customHeight="1">
      <c r="D731" s="109"/>
    </row>
    <row r="732" spans="4:4" ht="14.25" customHeight="1">
      <c r="D732" s="109"/>
    </row>
    <row r="733" spans="4:4" ht="14.25" customHeight="1">
      <c r="D733" s="109"/>
    </row>
    <row r="734" spans="4:4" ht="14.25" customHeight="1">
      <c r="D734" s="109"/>
    </row>
    <row r="735" spans="4:4" ht="14.25" customHeight="1">
      <c r="D735" s="109"/>
    </row>
    <row r="736" spans="4:4" ht="14.25" customHeight="1">
      <c r="D736" s="109"/>
    </row>
    <row r="737" spans="4:4" ht="14.25" customHeight="1">
      <c r="D737" s="109"/>
    </row>
    <row r="738" spans="4:4" ht="14.25" customHeight="1">
      <c r="D738" s="109"/>
    </row>
    <row r="739" spans="4:4" ht="14.25" customHeight="1">
      <c r="D739" s="109"/>
    </row>
    <row r="740" spans="4:4" ht="14.25" customHeight="1">
      <c r="D740" s="109"/>
    </row>
    <row r="741" spans="4:4" ht="14.25" customHeight="1">
      <c r="D741" s="109"/>
    </row>
    <row r="742" spans="4:4" ht="14.25" customHeight="1">
      <c r="D742" s="109"/>
    </row>
    <row r="743" spans="4:4" ht="14.25" customHeight="1">
      <c r="D743" s="109"/>
    </row>
    <row r="744" spans="4:4" ht="14.25" customHeight="1">
      <c r="D744" s="109"/>
    </row>
    <row r="745" spans="4:4" ht="14.25" customHeight="1">
      <c r="D745" s="109"/>
    </row>
    <row r="746" spans="4:4" ht="14.25" customHeight="1">
      <c r="D746" s="109"/>
    </row>
    <row r="747" spans="4:4" ht="14.25" customHeight="1">
      <c r="D747" s="109"/>
    </row>
    <row r="748" spans="4:4" ht="14.25" customHeight="1">
      <c r="D748" s="109"/>
    </row>
    <row r="749" spans="4:4" ht="14.25" customHeight="1">
      <c r="D749" s="109"/>
    </row>
    <row r="750" spans="4:4" ht="14.25" customHeight="1">
      <c r="D750" s="109"/>
    </row>
    <row r="751" spans="4:4" ht="14.25" customHeight="1">
      <c r="D751" s="109"/>
    </row>
    <row r="752" spans="4:4" ht="14.25" customHeight="1">
      <c r="D752" s="109"/>
    </row>
    <row r="753" spans="4:4" ht="14.25" customHeight="1">
      <c r="D753" s="109"/>
    </row>
    <row r="754" spans="4:4" ht="14.25" customHeight="1">
      <c r="D754" s="109"/>
    </row>
    <row r="755" spans="4:4" ht="14.25" customHeight="1">
      <c r="D755" s="109"/>
    </row>
    <row r="756" spans="4:4" ht="14.25" customHeight="1">
      <c r="D756" s="109"/>
    </row>
    <row r="757" spans="4:4" ht="14.25" customHeight="1">
      <c r="D757" s="109"/>
    </row>
    <row r="758" spans="4:4" ht="14.25" customHeight="1">
      <c r="D758" s="109"/>
    </row>
    <row r="759" spans="4:4" ht="14.25" customHeight="1">
      <c r="D759" s="109"/>
    </row>
    <row r="760" spans="4:4" ht="14.25" customHeight="1">
      <c r="D760" s="109"/>
    </row>
    <row r="761" spans="4:4" ht="14.25" customHeight="1">
      <c r="D761" s="109"/>
    </row>
    <row r="762" spans="4:4" ht="14.25" customHeight="1">
      <c r="D762" s="109"/>
    </row>
    <row r="763" spans="4:4" ht="14.25" customHeight="1">
      <c r="D763" s="109"/>
    </row>
    <row r="764" spans="4:4" ht="14.25" customHeight="1">
      <c r="D764" s="109"/>
    </row>
    <row r="765" spans="4:4" ht="14.25" customHeight="1">
      <c r="D765" s="109"/>
    </row>
    <row r="766" spans="4:4" ht="14.25" customHeight="1">
      <c r="D766" s="109"/>
    </row>
    <row r="767" spans="4:4" ht="14.25" customHeight="1">
      <c r="D767" s="109"/>
    </row>
    <row r="768" spans="4:4" ht="14.25" customHeight="1">
      <c r="D768" s="109"/>
    </row>
    <row r="769" spans="4:4" ht="14.25" customHeight="1">
      <c r="D769" s="109"/>
    </row>
    <row r="770" spans="4:4" ht="14.25" customHeight="1">
      <c r="D770" s="109"/>
    </row>
    <row r="771" spans="4:4" ht="14.25" customHeight="1">
      <c r="D771" s="109"/>
    </row>
    <row r="772" spans="4:4" ht="14.25" customHeight="1">
      <c r="D772" s="109"/>
    </row>
    <row r="773" spans="4:4" ht="14.25" customHeight="1">
      <c r="D773" s="109"/>
    </row>
    <row r="774" spans="4:4" ht="14.25" customHeight="1">
      <c r="D774" s="109"/>
    </row>
    <row r="775" spans="4:4" ht="14.25" customHeight="1">
      <c r="D775" s="109"/>
    </row>
    <row r="776" spans="4:4" ht="14.25" customHeight="1">
      <c r="D776" s="109"/>
    </row>
    <row r="777" spans="4:4" ht="14.25" customHeight="1">
      <c r="D777" s="109"/>
    </row>
    <row r="778" spans="4:4" ht="14.25" customHeight="1">
      <c r="D778" s="109"/>
    </row>
    <row r="779" spans="4:4" ht="14.25" customHeight="1">
      <c r="D779" s="109"/>
    </row>
    <row r="780" spans="4:4" ht="14.25" customHeight="1">
      <c r="D780" s="109"/>
    </row>
    <row r="781" spans="4:4" ht="14.25" customHeight="1">
      <c r="D781" s="109"/>
    </row>
    <row r="782" spans="4:4" ht="14.25" customHeight="1">
      <c r="D782" s="109"/>
    </row>
    <row r="783" spans="4:4" ht="14.25" customHeight="1">
      <c r="D783" s="109"/>
    </row>
    <row r="784" spans="4:4" ht="14.25" customHeight="1">
      <c r="D784" s="109"/>
    </row>
    <row r="785" spans="4:4" ht="14.25" customHeight="1">
      <c r="D785" s="109"/>
    </row>
    <row r="786" spans="4:4" ht="14.25" customHeight="1">
      <c r="D786" s="109"/>
    </row>
    <row r="787" spans="4:4" ht="14.25" customHeight="1">
      <c r="D787" s="109"/>
    </row>
    <row r="788" spans="4:4" ht="14.25" customHeight="1">
      <c r="D788" s="109"/>
    </row>
    <row r="789" spans="4:4" ht="14.25" customHeight="1">
      <c r="D789" s="109"/>
    </row>
    <row r="790" spans="4:4" ht="14.25" customHeight="1">
      <c r="D790" s="109"/>
    </row>
    <row r="791" spans="4:4" ht="14.25" customHeight="1">
      <c r="D791" s="109"/>
    </row>
    <row r="792" spans="4:4" ht="14.25" customHeight="1">
      <c r="D792" s="109"/>
    </row>
    <row r="793" spans="4:4" ht="14.25" customHeight="1">
      <c r="D793" s="109"/>
    </row>
    <row r="794" spans="4:4" ht="14.25" customHeight="1">
      <c r="D794" s="109"/>
    </row>
    <row r="795" spans="4:4" ht="14.25" customHeight="1">
      <c r="D795" s="109"/>
    </row>
    <row r="796" spans="4:4" ht="14.25" customHeight="1">
      <c r="D796" s="109"/>
    </row>
    <row r="797" spans="4:4" ht="14.25" customHeight="1">
      <c r="D797" s="109"/>
    </row>
    <row r="798" spans="4:4" ht="14.25" customHeight="1">
      <c r="D798" s="109"/>
    </row>
    <row r="799" spans="4:4" ht="14.25" customHeight="1">
      <c r="D799" s="109"/>
    </row>
    <row r="800" spans="4:4" ht="14.25" customHeight="1">
      <c r="D800" s="109"/>
    </row>
    <row r="801" spans="4:4" ht="14.25" customHeight="1">
      <c r="D801" s="109"/>
    </row>
    <row r="802" spans="4:4" ht="14.25" customHeight="1">
      <c r="D802" s="109"/>
    </row>
    <row r="803" spans="4:4" ht="14.25" customHeight="1">
      <c r="D803" s="109"/>
    </row>
    <row r="804" spans="4:4" ht="14.25" customHeight="1">
      <c r="D804" s="109"/>
    </row>
    <row r="805" spans="4:4" ht="14.25" customHeight="1">
      <c r="D805" s="109"/>
    </row>
    <row r="806" spans="4:4" ht="14.25" customHeight="1">
      <c r="D806" s="109"/>
    </row>
    <row r="807" spans="4:4" ht="14.25" customHeight="1">
      <c r="D807" s="109"/>
    </row>
    <row r="808" spans="4:4" ht="14.25" customHeight="1">
      <c r="D808" s="109"/>
    </row>
    <row r="809" spans="4:4" ht="14.25" customHeight="1">
      <c r="D809" s="109"/>
    </row>
    <row r="810" spans="4:4" ht="14.25" customHeight="1">
      <c r="D810" s="109"/>
    </row>
    <row r="811" spans="4:4" ht="14.25" customHeight="1">
      <c r="D811" s="109"/>
    </row>
    <row r="812" spans="4:4" ht="14.25" customHeight="1">
      <c r="D812" s="109"/>
    </row>
    <row r="813" spans="4:4" ht="14.25" customHeight="1">
      <c r="D813" s="109"/>
    </row>
    <row r="814" spans="4:4" ht="14.25" customHeight="1">
      <c r="D814" s="109"/>
    </row>
    <row r="815" spans="4:4" ht="14.25" customHeight="1">
      <c r="D815" s="109"/>
    </row>
    <row r="816" spans="4:4" ht="14.25" customHeight="1">
      <c r="D816" s="109"/>
    </row>
    <row r="817" spans="4:4" ht="14.25" customHeight="1">
      <c r="D817" s="109"/>
    </row>
    <row r="818" spans="4:4" ht="14.25" customHeight="1">
      <c r="D818" s="109"/>
    </row>
    <row r="819" spans="4:4" ht="14.25" customHeight="1">
      <c r="D819" s="109"/>
    </row>
    <row r="820" spans="4:4" ht="14.25" customHeight="1">
      <c r="D820" s="109"/>
    </row>
    <row r="821" spans="4:4" ht="14.25" customHeight="1">
      <c r="D821" s="109"/>
    </row>
    <row r="822" spans="4:4" ht="14.25" customHeight="1">
      <c r="D822" s="109"/>
    </row>
    <row r="823" spans="4:4" ht="14.25" customHeight="1">
      <c r="D823" s="109"/>
    </row>
    <row r="824" spans="4:4" ht="14.25" customHeight="1">
      <c r="D824" s="109"/>
    </row>
    <row r="825" spans="4:4" ht="14.25" customHeight="1">
      <c r="D825" s="109"/>
    </row>
    <row r="826" spans="4:4" ht="14.25" customHeight="1">
      <c r="D826" s="109"/>
    </row>
    <row r="827" spans="4:4" ht="14.25" customHeight="1">
      <c r="D827" s="109"/>
    </row>
    <row r="828" spans="4:4" ht="14.25" customHeight="1">
      <c r="D828" s="109"/>
    </row>
    <row r="829" spans="4:4" ht="14.25" customHeight="1">
      <c r="D829" s="109"/>
    </row>
    <row r="830" spans="4:4" ht="14.25" customHeight="1">
      <c r="D830" s="109"/>
    </row>
    <row r="831" spans="4:4" ht="14.25" customHeight="1">
      <c r="D831" s="109"/>
    </row>
    <row r="832" spans="4:4" ht="14.25" customHeight="1">
      <c r="D832" s="109"/>
    </row>
    <row r="833" spans="4:4" ht="14.25" customHeight="1">
      <c r="D833" s="109"/>
    </row>
    <row r="834" spans="4:4" ht="14.25" customHeight="1">
      <c r="D834" s="109"/>
    </row>
    <row r="835" spans="4:4" ht="14.25" customHeight="1">
      <c r="D835" s="109"/>
    </row>
    <row r="836" spans="4:4" ht="14.25" customHeight="1">
      <c r="D836" s="109"/>
    </row>
    <row r="837" spans="4:4" ht="14.25" customHeight="1">
      <c r="D837" s="109"/>
    </row>
    <row r="838" spans="4:4" ht="14.25" customHeight="1">
      <c r="D838" s="109"/>
    </row>
    <row r="839" spans="4:4" ht="14.25" customHeight="1">
      <c r="D839" s="109"/>
    </row>
    <row r="840" spans="4:4" ht="14.25" customHeight="1">
      <c r="D840" s="109"/>
    </row>
    <row r="841" spans="4:4" ht="14.25" customHeight="1">
      <c r="D841" s="109"/>
    </row>
    <row r="842" spans="4:4" ht="14.25" customHeight="1">
      <c r="D842" s="109"/>
    </row>
    <row r="843" spans="4:4" ht="14.25" customHeight="1">
      <c r="D843" s="109"/>
    </row>
    <row r="844" spans="4:4" ht="14.25" customHeight="1">
      <c r="D844" s="109"/>
    </row>
    <row r="845" spans="4:4" ht="14.25" customHeight="1">
      <c r="D845" s="109"/>
    </row>
    <row r="846" spans="4:4" ht="14.25" customHeight="1">
      <c r="D846" s="109"/>
    </row>
    <row r="847" spans="4:4" ht="14.25" customHeight="1">
      <c r="D847" s="109"/>
    </row>
    <row r="848" spans="4:4" ht="14.25" customHeight="1">
      <c r="D848" s="109"/>
    </row>
    <row r="849" spans="4:4" ht="14.25" customHeight="1">
      <c r="D849" s="109"/>
    </row>
    <row r="850" spans="4:4" ht="14.25" customHeight="1">
      <c r="D850" s="109"/>
    </row>
    <row r="851" spans="4:4" ht="14.25" customHeight="1">
      <c r="D851" s="109"/>
    </row>
    <row r="852" spans="4:4" ht="14.25" customHeight="1">
      <c r="D852" s="109"/>
    </row>
    <row r="853" spans="4:4" ht="14.25" customHeight="1">
      <c r="D853" s="109"/>
    </row>
    <row r="854" spans="4:4" ht="14.25" customHeight="1">
      <c r="D854" s="109"/>
    </row>
    <row r="855" spans="4:4" ht="14.25" customHeight="1">
      <c r="D855" s="109"/>
    </row>
    <row r="856" spans="4:4" ht="14.25" customHeight="1">
      <c r="D856" s="109"/>
    </row>
    <row r="857" spans="4:4" ht="14.25" customHeight="1">
      <c r="D857" s="109"/>
    </row>
    <row r="858" spans="4:4" ht="14.25" customHeight="1">
      <c r="D858" s="109"/>
    </row>
    <row r="859" spans="4:4" ht="14.25" customHeight="1">
      <c r="D859" s="109"/>
    </row>
    <row r="860" spans="4:4" ht="14.25" customHeight="1">
      <c r="D860" s="109"/>
    </row>
    <row r="861" spans="4:4" ht="14.25" customHeight="1">
      <c r="D861" s="109"/>
    </row>
    <row r="862" spans="4:4" ht="14.25" customHeight="1">
      <c r="D862" s="109"/>
    </row>
    <row r="863" spans="4:4" ht="14.25" customHeight="1">
      <c r="D863" s="109"/>
    </row>
    <row r="864" spans="4:4" ht="14.25" customHeight="1">
      <c r="D864" s="109"/>
    </row>
    <row r="865" spans="4:4" ht="14.25" customHeight="1">
      <c r="D865" s="109"/>
    </row>
    <row r="866" spans="4:4" ht="14.25" customHeight="1">
      <c r="D866" s="109"/>
    </row>
    <row r="867" spans="4:4" ht="14.25" customHeight="1">
      <c r="D867" s="109"/>
    </row>
    <row r="868" spans="4:4" ht="14.25" customHeight="1">
      <c r="D868" s="109"/>
    </row>
    <row r="869" spans="4:4" ht="14.25" customHeight="1">
      <c r="D869" s="109"/>
    </row>
    <row r="870" spans="4:4" ht="14.25" customHeight="1">
      <c r="D870" s="109"/>
    </row>
    <row r="871" spans="4:4" ht="14.25" customHeight="1">
      <c r="D871" s="109"/>
    </row>
    <row r="872" spans="4:4" ht="14.25" customHeight="1">
      <c r="D872" s="109"/>
    </row>
    <row r="873" spans="4:4" ht="14.25" customHeight="1">
      <c r="D873" s="109"/>
    </row>
    <row r="874" spans="4:4" ht="14.25" customHeight="1">
      <c r="D874" s="109"/>
    </row>
    <row r="875" spans="4:4" ht="14.25" customHeight="1">
      <c r="D875" s="109"/>
    </row>
    <row r="876" spans="4:4" ht="14.25" customHeight="1">
      <c r="D876" s="109"/>
    </row>
    <row r="877" spans="4:4" ht="14.25" customHeight="1">
      <c r="D877" s="109"/>
    </row>
    <row r="878" spans="4:4" ht="14.25" customHeight="1">
      <c r="D878" s="109"/>
    </row>
    <row r="879" spans="4:4" ht="14.25" customHeight="1">
      <c r="D879" s="109"/>
    </row>
    <row r="880" spans="4:4" ht="14.25" customHeight="1">
      <c r="D880" s="109"/>
    </row>
    <row r="881" spans="4:4" ht="14.25" customHeight="1">
      <c r="D881" s="109"/>
    </row>
    <row r="882" spans="4:4" ht="14.25" customHeight="1">
      <c r="D882" s="109"/>
    </row>
    <row r="883" spans="4:4" ht="14.25" customHeight="1">
      <c r="D883" s="109"/>
    </row>
    <row r="884" spans="4:4" ht="14.25" customHeight="1">
      <c r="D884" s="109"/>
    </row>
    <row r="885" spans="4:4" ht="14.25" customHeight="1">
      <c r="D885" s="109"/>
    </row>
    <row r="886" spans="4:4" ht="14.25" customHeight="1">
      <c r="D886" s="109"/>
    </row>
    <row r="887" spans="4:4" ht="14.25" customHeight="1">
      <c r="D887" s="109"/>
    </row>
    <row r="888" spans="4:4" ht="14.25" customHeight="1">
      <c r="D888" s="109"/>
    </row>
    <row r="889" spans="4:4" ht="14.25" customHeight="1">
      <c r="D889" s="109"/>
    </row>
    <row r="890" spans="4:4" ht="14.25" customHeight="1">
      <c r="D890" s="109"/>
    </row>
    <row r="891" spans="4:4" ht="14.25" customHeight="1">
      <c r="D891" s="109"/>
    </row>
    <row r="892" spans="4:4" ht="14.25" customHeight="1">
      <c r="D892" s="109"/>
    </row>
    <row r="893" spans="4:4" ht="14.25" customHeight="1">
      <c r="D893" s="109"/>
    </row>
    <row r="894" spans="4:4" ht="14.25" customHeight="1">
      <c r="D894" s="109"/>
    </row>
    <row r="895" spans="4:4" ht="14.25" customHeight="1">
      <c r="D895" s="109"/>
    </row>
    <row r="896" spans="4:4" ht="14.25" customHeight="1">
      <c r="D896" s="109"/>
    </row>
    <row r="897" spans="4:4" ht="14.25" customHeight="1">
      <c r="D897" s="109"/>
    </row>
    <row r="898" spans="4:4" ht="14.25" customHeight="1">
      <c r="D898" s="109"/>
    </row>
    <row r="899" spans="4:4" ht="14.25" customHeight="1">
      <c r="D899" s="109"/>
    </row>
    <row r="900" spans="4:4" ht="14.25" customHeight="1">
      <c r="D900" s="109"/>
    </row>
    <row r="901" spans="4:4" ht="14.25" customHeight="1">
      <c r="D901" s="109"/>
    </row>
    <row r="902" spans="4:4" ht="14.25" customHeight="1">
      <c r="D902" s="109"/>
    </row>
    <row r="903" spans="4:4" ht="14.25" customHeight="1">
      <c r="D903" s="109"/>
    </row>
    <row r="904" spans="4:4" ht="14.25" customHeight="1">
      <c r="D904" s="109"/>
    </row>
    <row r="905" spans="4:4" ht="14.25" customHeight="1">
      <c r="D905" s="109"/>
    </row>
    <row r="906" spans="4:4" ht="14.25" customHeight="1">
      <c r="D906" s="109"/>
    </row>
    <row r="907" spans="4:4" ht="14.25" customHeight="1">
      <c r="D907" s="109"/>
    </row>
    <row r="908" spans="4:4" ht="14.25" customHeight="1">
      <c r="D908" s="109"/>
    </row>
    <row r="909" spans="4:4" ht="14.25" customHeight="1">
      <c r="D909" s="109"/>
    </row>
    <row r="910" spans="4:4" ht="14.25" customHeight="1">
      <c r="D910" s="109"/>
    </row>
    <row r="911" spans="4:4" ht="14.25" customHeight="1">
      <c r="D911" s="109"/>
    </row>
    <row r="912" spans="4:4" ht="14.25" customHeight="1">
      <c r="D912" s="109"/>
    </row>
    <row r="913" spans="4:4" ht="14.25" customHeight="1">
      <c r="D913" s="109"/>
    </row>
    <row r="914" spans="4:4" ht="14.25" customHeight="1">
      <c r="D914" s="109"/>
    </row>
    <row r="915" spans="4:4" ht="14.25" customHeight="1">
      <c r="D915" s="109"/>
    </row>
    <row r="916" spans="4:4" ht="14.25" customHeight="1">
      <c r="D916" s="109"/>
    </row>
    <row r="917" spans="4:4" ht="14.25" customHeight="1">
      <c r="D917" s="109"/>
    </row>
    <row r="918" spans="4:4" ht="14.25" customHeight="1">
      <c r="D918" s="109"/>
    </row>
    <row r="919" spans="4:4" ht="14.25" customHeight="1">
      <c r="D919" s="109"/>
    </row>
    <row r="920" spans="4:4" ht="14.25" customHeight="1">
      <c r="D920" s="109"/>
    </row>
    <row r="921" spans="4:4" ht="14.25" customHeight="1">
      <c r="D921" s="109"/>
    </row>
    <row r="922" spans="4:4" ht="14.25" customHeight="1">
      <c r="D922" s="109"/>
    </row>
    <row r="923" spans="4:4" ht="14.25" customHeight="1">
      <c r="D923" s="109"/>
    </row>
    <row r="924" spans="4:4" ht="14.25" customHeight="1">
      <c r="D924" s="109"/>
    </row>
    <row r="925" spans="4:4" ht="14.25" customHeight="1">
      <c r="D925" s="109"/>
    </row>
    <row r="926" spans="4:4" ht="14.25" customHeight="1">
      <c r="D926" s="109"/>
    </row>
    <row r="927" spans="4:4" ht="14.25" customHeight="1">
      <c r="D927" s="109"/>
    </row>
    <row r="928" spans="4:4" ht="14.25" customHeight="1">
      <c r="D928" s="109"/>
    </row>
    <row r="929" spans="4:4" ht="14.25" customHeight="1">
      <c r="D929" s="109"/>
    </row>
    <row r="930" spans="4:4" ht="14.25" customHeight="1">
      <c r="D930" s="109"/>
    </row>
    <row r="931" spans="4:4" ht="14.25" customHeight="1">
      <c r="D931" s="109"/>
    </row>
    <row r="932" spans="4:4" ht="14.25" customHeight="1">
      <c r="D932" s="109"/>
    </row>
    <row r="933" spans="4:4" ht="14.25" customHeight="1">
      <c r="D933" s="109"/>
    </row>
    <row r="934" spans="4:4" ht="14.25" customHeight="1">
      <c r="D934" s="109"/>
    </row>
    <row r="935" spans="4:4" ht="14.25" customHeight="1">
      <c r="D935" s="109"/>
    </row>
    <row r="936" spans="4:4" ht="14.25" customHeight="1">
      <c r="D936" s="109"/>
    </row>
    <row r="937" spans="4:4" ht="14.25" customHeight="1">
      <c r="D937" s="109"/>
    </row>
    <row r="938" spans="4:4" ht="14.25" customHeight="1">
      <c r="D938" s="109"/>
    </row>
    <row r="939" spans="4:4" ht="14.25" customHeight="1">
      <c r="D939" s="109"/>
    </row>
    <row r="940" spans="4:4" ht="14.25" customHeight="1">
      <c r="D940" s="109"/>
    </row>
    <row r="941" spans="4:4" ht="14.25" customHeight="1">
      <c r="D941" s="109"/>
    </row>
    <row r="942" spans="4:4" ht="14.25" customHeight="1">
      <c r="D942" s="109"/>
    </row>
    <row r="943" spans="4:4" ht="14.25" customHeight="1">
      <c r="D943" s="109"/>
    </row>
    <row r="944" spans="4:4" ht="14.25" customHeight="1">
      <c r="D944" s="109"/>
    </row>
    <row r="945" spans="4:4" ht="14.25" customHeight="1">
      <c r="D945" s="109"/>
    </row>
    <row r="946" spans="4:4" ht="14.25" customHeight="1">
      <c r="D946" s="109"/>
    </row>
    <row r="947" spans="4:4" ht="14.25" customHeight="1">
      <c r="D947" s="109"/>
    </row>
    <row r="948" spans="4:4" ht="14.25" customHeight="1">
      <c r="D948" s="109"/>
    </row>
    <row r="949" spans="4:4" ht="14.25" customHeight="1">
      <c r="D949" s="109"/>
    </row>
    <row r="950" spans="4:4" ht="14.25" customHeight="1">
      <c r="D950" s="109"/>
    </row>
    <row r="951" spans="4:4" ht="14.25" customHeight="1">
      <c r="D951" s="109"/>
    </row>
    <row r="952" spans="4:4" ht="14.25" customHeight="1">
      <c r="D952" s="109"/>
    </row>
    <row r="953" spans="4:4" ht="14.25" customHeight="1">
      <c r="D953" s="109"/>
    </row>
    <row r="954" spans="4:4" ht="14.25" customHeight="1">
      <c r="D954" s="109"/>
    </row>
    <row r="955" spans="4:4" ht="14.25" customHeight="1">
      <c r="D955" s="109"/>
    </row>
    <row r="956" spans="4:4" ht="14.25" customHeight="1">
      <c r="D956" s="109"/>
    </row>
    <row r="957" spans="4:4" ht="14.25" customHeight="1">
      <c r="D957" s="109"/>
    </row>
    <row r="958" spans="4:4" ht="14.25" customHeight="1">
      <c r="D958" s="109"/>
    </row>
    <row r="959" spans="4:4" ht="14.25" customHeight="1">
      <c r="D959" s="109"/>
    </row>
    <row r="960" spans="4:4" ht="14.25" customHeight="1">
      <c r="D960" s="109"/>
    </row>
    <row r="961" spans="4:4" ht="14.25" customHeight="1">
      <c r="D961" s="109"/>
    </row>
    <row r="962" spans="4:4" ht="14.25" customHeight="1">
      <c r="D962" s="109"/>
    </row>
    <row r="963" spans="4:4" ht="14.25" customHeight="1">
      <c r="D963" s="109"/>
    </row>
    <row r="964" spans="4:4" ht="14.25" customHeight="1">
      <c r="D964" s="109"/>
    </row>
    <row r="965" spans="4:4" ht="14.25" customHeight="1">
      <c r="D965" s="109"/>
    </row>
    <row r="966" spans="4:4" ht="14.25" customHeight="1">
      <c r="D966" s="109"/>
    </row>
    <row r="967" spans="4:4" ht="14.25" customHeight="1">
      <c r="D967" s="109"/>
    </row>
    <row r="968" spans="4:4" ht="14.25" customHeight="1">
      <c r="D968" s="109"/>
    </row>
    <row r="969" spans="4:4" ht="14.25" customHeight="1">
      <c r="D969" s="109"/>
    </row>
    <row r="970" spans="4:4" ht="14.25" customHeight="1">
      <c r="D970" s="109"/>
    </row>
    <row r="971" spans="4:4" ht="14.25" customHeight="1">
      <c r="D971" s="109"/>
    </row>
    <row r="972" spans="4:4" ht="14.25" customHeight="1"/>
    <row r="973" spans="4:4" ht="14.25" customHeight="1"/>
    <row r="974" spans="4:4" ht="14.25" customHeight="1"/>
    <row r="975" spans="4:4" ht="14.25" customHeight="1"/>
    <row r="976" spans="4:4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</sheetData>
  <pageMargins left="0.7" right="0.7" top="0.75" bottom="0.75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BUDGET 24.25</vt:lpstr>
      <vt:lpstr>TEAM Summary</vt:lpstr>
      <vt:lpstr>Baseball</vt:lpstr>
      <vt:lpstr>Basketball - Boys</vt:lpstr>
      <vt:lpstr>Basketball - Girls</vt:lpstr>
      <vt:lpstr>Cheer</vt:lpstr>
      <vt:lpstr>Cross Country</vt:lpstr>
      <vt:lpstr>Flag Football</vt:lpstr>
      <vt:lpstr>Football</vt:lpstr>
      <vt:lpstr>Golf - Boys</vt:lpstr>
      <vt:lpstr>Golf - Girls</vt:lpstr>
      <vt:lpstr>Lacrosse - Boys</vt:lpstr>
      <vt:lpstr>Lacrosse - Girls</vt:lpstr>
      <vt:lpstr>Soccer - Boys</vt:lpstr>
      <vt:lpstr>Soccer - Girls</vt:lpstr>
      <vt:lpstr>Softball</vt:lpstr>
      <vt:lpstr>Swim &amp; Dive - Swim</vt:lpstr>
      <vt:lpstr>Swim &amp; Dive - Dive</vt:lpstr>
      <vt:lpstr>Tennis - Boys</vt:lpstr>
      <vt:lpstr>Tennis - Girls</vt:lpstr>
      <vt:lpstr>Track &amp; Field</vt:lpstr>
      <vt:lpstr>Volleyball - Boys</vt:lpstr>
      <vt:lpstr>Volleyball - Girls</vt:lpstr>
      <vt:lpstr>Water Polo - Boys</vt:lpstr>
      <vt:lpstr>Water Polo - Girls</vt:lpstr>
      <vt:lpstr>Wrestling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Carrie Wheeler</dc:creator>
  <cp:lastModifiedBy>Marconi Avenue Chiro</cp:lastModifiedBy>
  <dcterms:created xsi:type="dcterms:W3CDTF">2024-09-03T20:57:28Z</dcterms:created>
  <dcterms:modified xsi:type="dcterms:W3CDTF">2024-09-03T20:57:28Z</dcterms:modified>
</cp:coreProperties>
</file>