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0730" windowHeight="11160"/>
  </bookViews>
  <sheets>
    <sheet name="Statement of Activity by Class" sheetId="3" r:id="rId1"/>
  </sheets>
  <calcPr calcId="145621"/>
</workbook>
</file>

<file path=xl/calcChain.xml><?xml version="1.0" encoding="utf-8"?>
<calcChain xmlns="http://schemas.openxmlformats.org/spreadsheetml/2006/main">
  <c r="AI92" i="3" l="1"/>
  <c r="AC92" i="3"/>
  <c r="AG78" i="3"/>
  <c r="AG57" i="3" l="1"/>
  <c r="AG74" i="3" l="1"/>
  <c r="AH97" i="3" l="1"/>
  <c r="AH101" i="3" s="1"/>
  <c r="AH95" i="3"/>
  <c r="AH94" i="3"/>
  <c r="AB7" i="3"/>
  <c r="AB9" i="3" s="1"/>
  <c r="AB25" i="3"/>
  <c r="AB30" i="3" s="1"/>
  <c r="AB44" i="3"/>
  <c r="AB55" i="3"/>
  <c r="AB70" i="3"/>
  <c r="AB79" i="3" s="1"/>
  <c r="AB77" i="3"/>
  <c r="AB86" i="3"/>
  <c r="AB87" i="3"/>
  <c r="AB88" i="3" s="1"/>
  <c r="AC13" i="3"/>
  <c r="AC15" i="3"/>
  <c r="AC16" i="3"/>
  <c r="AC18" i="3"/>
  <c r="AC19" i="3"/>
  <c r="AC20" i="3"/>
  <c r="AC21" i="3"/>
  <c r="AC22" i="3"/>
  <c r="AI22" i="3" s="1"/>
  <c r="AC23" i="3"/>
  <c r="AC24" i="3"/>
  <c r="AC28" i="3"/>
  <c r="AC29" i="3"/>
  <c r="AC45" i="3"/>
  <c r="AI45" i="3" s="1"/>
  <c r="AC47" i="3"/>
  <c r="AC49" i="3"/>
  <c r="AC51" i="3"/>
  <c r="AC52" i="3"/>
  <c r="AC53" i="3"/>
  <c r="AC54" i="3"/>
  <c r="AC56" i="3"/>
  <c r="AC58" i="3"/>
  <c r="AC59" i="3"/>
  <c r="AC60" i="3"/>
  <c r="AC61" i="3"/>
  <c r="AC62" i="3"/>
  <c r="AC63" i="3"/>
  <c r="AC64" i="3"/>
  <c r="AC65" i="3"/>
  <c r="AC66" i="3"/>
  <c r="AC68" i="3"/>
  <c r="AC69" i="3"/>
  <c r="AC71" i="3"/>
  <c r="AC72" i="3"/>
  <c r="AC73" i="3"/>
  <c r="AC74" i="3"/>
  <c r="AC84" i="3"/>
  <c r="AC85" i="3"/>
  <c r="AI68" i="3"/>
  <c r="AG7" i="3"/>
  <c r="AG9" i="3" s="1"/>
  <c r="I64" i="3"/>
  <c r="B101" i="3"/>
  <c r="D93" i="3"/>
  <c r="B93" i="3"/>
  <c r="B98" i="3" s="1"/>
  <c r="AG86" i="3"/>
  <c r="AG87" i="3" s="1"/>
  <c r="AG88" i="3" s="1"/>
  <c r="AF86" i="3"/>
  <c r="AF87" i="3" s="1"/>
  <c r="AF88" i="3" s="1"/>
  <c r="AE86" i="3"/>
  <c r="AE87" i="3" s="1"/>
  <c r="AE88" i="3" s="1"/>
  <c r="AD86" i="3"/>
  <c r="AD87" i="3" s="1"/>
  <c r="AD88" i="3" s="1"/>
  <c r="AA86" i="3"/>
  <c r="AA87" i="3" s="1"/>
  <c r="AA88" i="3" s="1"/>
  <c r="Z86" i="3"/>
  <c r="Z87" i="3" s="1"/>
  <c r="Z88" i="3" s="1"/>
  <c r="Y86" i="3"/>
  <c r="Y87" i="3" s="1"/>
  <c r="Y88" i="3" s="1"/>
  <c r="X86" i="3"/>
  <c r="X87" i="3" s="1"/>
  <c r="X88" i="3" s="1"/>
  <c r="W86" i="3"/>
  <c r="W87" i="3" s="1"/>
  <c r="W88" i="3" s="1"/>
  <c r="V86" i="3"/>
  <c r="U86" i="3"/>
  <c r="R86" i="3"/>
  <c r="R87" i="3" s="1"/>
  <c r="R88" i="3" s="1"/>
  <c r="P86" i="3"/>
  <c r="P87" i="3" s="1"/>
  <c r="P88" i="3" s="1"/>
  <c r="O86" i="3"/>
  <c r="O87" i="3" s="1"/>
  <c r="O88" i="3" s="1"/>
  <c r="N86" i="3"/>
  <c r="N87" i="3" s="1"/>
  <c r="N88" i="3" s="1"/>
  <c r="M86" i="3"/>
  <c r="M87" i="3" s="1"/>
  <c r="M88" i="3" s="1"/>
  <c r="L86" i="3"/>
  <c r="L87" i="3" s="1"/>
  <c r="L88" i="3" s="1"/>
  <c r="K86" i="3"/>
  <c r="K87" i="3" s="1"/>
  <c r="K88" i="3" s="1"/>
  <c r="J86" i="3"/>
  <c r="J87" i="3" s="1"/>
  <c r="J88" i="3" s="1"/>
  <c r="H86" i="3"/>
  <c r="H87" i="3" s="1"/>
  <c r="H88" i="3" s="1"/>
  <c r="S85" i="3"/>
  <c r="S86" i="3" s="1"/>
  <c r="S87" i="3" s="1"/>
  <c r="S88" i="3" s="1"/>
  <c r="Q85" i="3"/>
  <c r="Q86" i="3" s="1"/>
  <c r="Q87" i="3" s="1"/>
  <c r="Q88" i="3" s="1"/>
  <c r="I85" i="3"/>
  <c r="I86" i="3" s="1"/>
  <c r="I87" i="3" s="1"/>
  <c r="I88" i="3" s="1"/>
  <c r="D85" i="3"/>
  <c r="T84" i="3"/>
  <c r="T86" i="3" s="1"/>
  <c r="T87" i="3" s="1"/>
  <c r="T88" i="3" s="1"/>
  <c r="G84" i="3"/>
  <c r="G86" i="3" s="1"/>
  <c r="G87" i="3" s="1"/>
  <c r="G88" i="3" s="1"/>
  <c r="F84" i="3"/>
  <c r="F86" i="3" s="1"/>
  <c r="F87" i="3" s="1"/>
  <c r="F88" i="3" s="1"/>
  <c r="E84" i="3"/>
  <c r="E86" i="3" s="1"/>
  <c r="E87" i="3" s="1"/>
  <c r="E88" i="3" s="1"/>
  <c r="D84" i="3"/>
  <c r="C84" i="3"/>
  <c r="C86" i="3" s="1"/>
  <c r="C95" i="3" s="1"/>
  <c r="V83" i="3"/>
  <c r="AC83" i="3" s="1"/>
  <c r="AF78" i="3"/>
  <c r="AE78" i="3"/>
  <c r="AD78" i="3"/>
  <c r="X78" i="3"/>
  <c r="AC78" i="3" s="1"/>
  <c r="Q78" i="3"/>
  <c r="N78" i="3"/>
  <c r="K78" i="3"/>
  <c r="G78" i="3"/>
  <c r="E78" i="3"/>
  <c r="D78" i="3"/>
  <c r="C78" i="3"/>
  <c r="AG77" i="3"/>
  <c r="AF77" i="3"/>
  <c r="AA77" i="3"/>
  <c r="Y77" i="3"/>
  <c r="X77" i="3"/>
  <c r="V77" i="3"/>
  <c r="U77" i="3"/>
  <c r="R77" i="3"/>
  <c r="Q77" i="3"/>
  <c r="P77" i="3"/>
  <c r="L77" i="3"/>
  <c r="K77" i="3"/>
  <c r="J77" i="3"/>
  <c r="H77" i="3"/>
  <c r="F77" i="3"/>
  <c r="E77" i="3"/>
  <c r="AE76" i="3"/>
  <c r="AE77" i="3" s="1"/>
  <c r="W76" i="3"/>
  <c r="W77" i="3" s="1"/>
  <c r="T76" i="3"/>
  <c r="T77" i="3" s="1"/>
  <c r="S76" i="3"/>
  <c r="S77" i="3" s="1"/>
  <c r="M76" i="3"/>
  <c r="M77" i="3" s="1"/>
  <c r="I76" i="3"/>
  <c r="G76" i="3"/>
  <c r="D76" i="3"/>
  <c r="D77" i="3" s="1"/>
  <c r="C76" i="3"/>
  <c r="C77" i="3" s="1"/>
  <c r="AD75" i="3"/>
  <c r="AD77" i="3" s="1"/>
  <c r="Z75" i="3"/>
  <c r="AC75" i="3" s="1"/>
  <c r="O75" i="3"/>
  <c r="O77" i="3" s="1"/>
  <c r="N75" i="3"/>
  <c r="N77" i="3" s="1"/>
  <c r="I75" i="3"/>
  <c r="I77" i="3" s="1"/>
  <c r="G74" i="3"/>
  <c r="F74" i="3"/>
  <c r="E74" i="3"/>
  <c r="D74" i="3"/>
  <c r="S73" i="3"/>
  <c r="I73" i="3"/>
  <c r="E73" i="3"/>
  <c r="F72" i="3"/>
  <c r="S71" i="3"/>
  <c r="N71" i="3"/>
  <c r="K71" i="3"/>
  <c r="I71" i="3"/>
  <c r="G71" i="3"/>
  <c r="F71" i="3"/>
  <c r="AG70" i="3"/>
  <c r="AF70" i="3"/>
  <c r="AE70" i="3"/>
  <c r="AD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E70" i="3"/>
  <c r="C70" i="3"/>
  <c r="F69" i="3"/>
  <c r="F70" i="3" s="1"/>
  <c r="D69" i="3"/>
  <c r="AA67" i="3"/>
  <c r="AC67" i="3" s="1"/>
  <c r="D67" i="3"/>
  <c r="C66" i="3"/>
  <c r="C65" i="3"/>
  <c r="F64" i="3"/>
  <c r="E64" i="3"/>
  <c r="C64" i="3"/>
  <c r="C63" i="3"/>
  <c r="H62" i="3"/>
  <c r="C62" i="3"/>
  <c r="C61" i="3"/>
  <c r="AE60" i="3"/>
  <c r="AD60" i="3"/>
  <c r="O60" i="3"/>
  <c r="I60" i="3"/>
  <c r="AD59" i="3"/>
  <c r="S59" i="3"/>
  <c r="C59" i="3"/>
  <c r="S58" i="3"/>
  <c r="AF57" i="3"/>
  <c r="AD57" i="3"/>
  <c r="Y57" i="3"/>
  <c r="X57" i="3"/>
  <c r="AC57" i="3" s="1"/>
  <c r="S57" i="3"/>
  <c r="R57" i="3"/>
  <c r="O57" i="3"/>
  <c r="N57" i="3"/>
  <c r="M57" i="3"/>
  <c r="L57" i="3"/>
  <c r="K57" i="3"/>
  <c r="I57" i="3"/>
  <c r="G57" i="3"/>
  <c r="D57" i="3"/>
  <c r="D56" i="3"/>
  <c r="AE55" i="3"/>
  <c r="AD55" i="3"/>
  <c r="AA55" i="3"/>
  <c r="Z55" i="3"/>
  <c r="Y55" i="3"/>
  <c r="X55" i="3"/>
  <c r="W55" i="3"/>
  <c r="U55" i="3"/>
  <c r="T55" i="3"/>
  <c r="S55" i="3"/>
  <c r="R55" i="3"/>
  <c r="Q55" i="3"/>
  <c r="P55" i="3"/>
  <c r="O55" i="3"/>
  <c r="N55" i="3"/>
  <c r="M55" i="3"/>
  <c r="L55" i="3"/>
  <c r="K55" i="3"/>
  <c r="J55" i="3"/>
  <c r="H55" i="3"/>
  <c r="G55" i="3"/>
  <c r="E55" i="3"/>
  <c r="C55" i="3"/>
  <c r="AG54" i="3"/>
  <c r="AG55" i="3" s="1"/>
  <c r="AF54" i="3"/>
  <c r="AF55" i="3" s="1"/>
  <c r="I53" i="3"/>
  <c r="D53" i="3"/>
  <c r="D52" i="3"/>
  <c r="D51" i="3"/>
  <c r="V50" i="3"/>
  <c r="AC50" i="3" s="1"/>
  <c r="I49" i="3"/>
  <c r="V48" i="3"/>
  <c r="AC48" i="3" s="1"/>
  <c r="F47" i="3"/>
  <c r="V46" i="3"/>
  <c r="AC46" i="3" s="1"/>
  <c r="AG44" i="3"/>
  <c r="AF44" i="3"/>
  <c r="AE44" i="3"/>
  <c r="AD44" i="3"/>
  <c r="AA44" i="3"/>
  <c r="Z44" i="3"/>
  <c r="Y44" i="3"/>
  <c r="X44" i="3"/>
  <c r="W44" i="3"/>
  <c r="U44" i="3"/>
  <c r="T44" i="3"/>
  <c r="S44" i="3"/>
  <c r="R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V43" i="3"/>
  <c r="AC43" i="3" s="1"/>
  <c r="V42" i="3"/>
  <c r="AC42" i="3" s="1"/>
  <c r="Q42" i="3"/>
  <c r="V41" i="3"/>
  <c r="AC41" i="3" s="1"/>
  <c r="V40" i="3"/>
  <c r="AC40" i="3" s="1"/>
  <c r="V39" i="3"/>
  <c r="AC39" i="3" s="1"/>
  <c r="V38" i="3"/>
  <c r="AC38" i="3" s="1"/>
  <c r="V37" i="3"/>
  <c r="AC37" i="3" s="1"/>
  <c r="V33" i="3"/>
  <c r="AC33" i="3" s="1"/>
  <c r="V32" i="3"/>
  <c r="AC32" i="3" s="1"/>
  <c r="V31" i="3"/>
  <c r="AC31" i="3" s="1"/>
  <c r="AG29" i="3"/>
  <c r="N28" i="3"/>
  <c r="V27" i="3"/>
  <c r="AC27" i="3" s="1"/>
  <c r="AD26" i="3"/>
  <c r="V26" i="3"/>
  <c r="AC26" i="3" s="1"/>
  <c r="P26" i="3"/>
  <c r="O26" i="3"/>
  <c r="D26" i="3"/>
  <c r="AG25" i="3"/>
  <c r="AF25" i="3"/>
  <c r="AF30" i="3" s="1"/>
  <c r="AE25" i="3"/>
  <c r="AE30" i="3" s="1"/>
  <c r="AD25" i="3"/>
  <c r="AA25" i="3"/>
  <c r="AA30" i="3" s="1"/>
  <c r="Z25" i="3"/>
  <c r="Z30" i="3" s="1"/>
  <c r="Y25" i="3"/>
  <c r="Y30" i="3" s="1"/>
  <c r="X25" i="3"/>
  <c r="X30" i="3" s="1"/>
  <c r="W25" i="3"/>
  <c r="W30" i="3" s="1"/>
  <c r="V25" i="3"/>
  <c r="U25" i="3"/>
  <c r="U30" i="3" s="1"/>
  <c r="T25" i="3"/>
  <c r="T30" i="3" s="1"/>
  <c r="S25" i="3"/>
  <c r="S30" i="3" s="1"/>
  <c r="R25" i="3"/>
  <c r="R30" i="3" s="1"/>
  <c r="Q25" i="3"/>
  <c r="Q30" i="3" s="1"/>
  <c r="P25" i="3"/>
  <c r="O25" i="3"/>
  <c r="N25" i="3"/>
  <c r="M25" i="3"/>
  <c r="M30" i="3" s="1"/>
  <c r="L25" i="3"/>
  <c r="L30" i="3" s="1"/>
  <c r="K25" i="3"/>
  <c r="K30" i="3" s="1"/>
  <c r="J25" i="3"/>
  <c r="J30" i="3" s="1"/>
  <c r="H25" i="3"/>
  <c r="H30" i="3" s="1"/>
  <c r="G25" i="3"/>
  <c r="G30" i="3" s="1"/>
  <c r="F25" i="3"/>
  <c r="C25" i="3"/>
  <c r="I24" i="3"/>
  <c r="I25" i="3" s="1"/>
  <c r="E23" i="3"/>
  <c r="E25" i="3" s="1"/>
  <c r="E30" i="3" s="1"/>
  <c r="D23" i="3"/>
  <c r="C21" i="3"/>
  <c r="F20" i="3"/>
  <c r="D19" i="3"/>
  <c r="D18" i="3"/>
  <c r="V17" i="3"/>
  <c r="AC17" i="3" s="1"/>
  <c r="D16" i="3"/>
  <c r="I15" i="3"/>
  <c r="V14" i="3"/>
  <c r="AC14" i="3" s="1"/>
  <c r="F13" i="3"/>
  <c r="V12" i="3"/>
  <c r="AC12" i="3" s="1"/>
  <c r="V11" i="3"/>
  <c r="AC11" i="3" s="1"/>
  <c r="V10" i="3"/>
  <c r="AC10" i="3" s="1"/>
  <c r="F10" i="3"/>
  <c r="AA9" i="3"/>
  <c r="Z9" i="3"/>
  <c r="Y9" i="3"/>
  <c r="X9" i="3"/>
  <c r="W9" i="3"/>
  <c r="U9" i="3"/>
  <c r="H9" i="3"/>
  <c r="V8" i="3"/>
  <c r="AC8" i="3" s="1"/>
  <c r="AF7" i="3"/>
  <c r="AF9" i="3" s="1"/>
  <c r="AE7" i="3"/>
  <c r="AE9" i="3" s="1"/>
  <c r="AD7" i="3"/>
  <c r="AD9" i="3" s="1"/>
  <c r="V7" i="3"/>
  <c r="AC7" i="3" s="1"/>
  <c r="T7" i="3"/>
  <c r="T9" i="3" s="1"/>
  <c r="S7" i="3"/>
  <c r="S9" i="3" s="1"/>
  <c r="R7" i="3"/>
  <c r="R9" i="3" s="1"/>
  <c r="Q7" i="3"/>
  <c r="Q9" i="3" s="1"/>
  <c r="P7" i="3"/>
  <c r="P9" i="3" s="1"/>
  <c r="O7" i="3"/>
  <c r="O9" i="3" s="1"/>
  <c r="N7" i="3"/>
  <c r="N9" i="3" s="1"/>
  <c r="M7" i="3"/>
  <c r="M9" i="3" s="1"/>
  <c r="L7" i="3"/>
  <c r="L9" i="3" s="1"/>
  <c r="K7" i="3"/>
  <c r="K9" i="3" s="1"/>
  <c r="J7" i="3"/>
  <c r="J9" i="3" s="1"/>
  <c r="I7" i="3"/>
  <c r="I9" i="3" s="1"/>
  <c r="G7" i="3"/>
  <c r="G9" i="3" s="1"/>
  <c r="F7" i="3"/>
  <c r="F9" i="3" s="1"/>
  <c r="E7" i="3"/>
  <c r="E9" i="3" s="1"/>
  <c r="D7" i="3"/>
  <c r="D9" i="3" s="1"/>
  <c r="C7" i="3"/>
  <c r="C9" i="3" s="1"/>
  <c r="AI93" i="3" l="1"/>
  <c r="AG95" i="3"/>
  <c r="AE95" i="3"/>
  <c r="AF95" i="3"/>
  <c r="AH98" i="3"/>
  <c r="AC70" i="3"/>
  <c r="AD95" i="3"/>
  <c r="AB80" i="3"/>
  <c r="AG100" i="3" s="1"/>
  <c r="AB34" i="3"/>
  <c r="AB35" i="3" s="1"/>
  <c r="AC86" i="3"/>
  <c r="AC95" i="3" s="1"/>
  <c r="AC76" i="3"/>
  <c r="AI76" i="3" s="1"/>
  <c r="AC25" i="3"/>
  <c r="H34" i="3"/>
  <c r="H35" i="3" s="1"/>
  <c r="AI48" i="3"/>
  <c r="AI38" i="3"/>
  <c r="AI14" i="3"/>
  <c r="AI17" i="3"/>
  <c r="AI41" i="3"/>
  <c r="AI46" i="3"/>
  <c r="AI8" i="3"/>
  <c r="AI11" i="3"/>
  <c r="AI33" i="3"/>
  <c r="AI31" i="3"/>
  <c r="AI39" i="3"/>
  <c r="AI50" i="3"/>
  <c r="AI83" i="3"/>
  <c r="AI43" i="3"/>
  <c r="AI37" i="3"/>
  <c r="AI32" i="3"/>
  <c r="AI27" i="3"/>
  <c r="AI12" i="3"/>
  <c r="G95" i="3"/>
  <c r="AI13" i="3"/>
  <c r="AI18" i="3"/>
  <c r="I95" i="3"/>
  <c r="O95" i="3"/>
  <c r="Q95" i="3"/>
  <c r="R95" i="3"/>
  <c r="H95" i="3"/>
  <c r="P95" i="3"/>
  <c r="AD30" i="3"/>
  <c r="AD34" i="3" s="1"/>
  <c r="AD94" i="3" s="1"/>
  <c r="J95" i="3"/>
  <c r="K95" i="3"/>
  <c r="S95" i="3"/>
  <c r="L95" i="3"/>
  <c r="T95" i="3"/>
  <c r="E95" i="3"/>
  <c r="M95" i="3"/>
  <c r="F95" i="3"/>
  <c r="N95" i="3"/>
  <c r="AI28" i="3"/>
  <c r="AI19" i="3"/>
  <c r="P30" i="3"/>
  <c r="P34" i="3" s="1"/>
  <c r="AI66" i="3"/>
  <c r="V79" i="3"/>
  <c r="AI21" i="3"/>
  <c r="AI56" i="3"/>
  <c r="AI58" i="3"/>
  <c r="AI69" i="3"/>
  <c r="J79" i="3"/>
  <c r="J80" i="3" s="1"/>
  <c r="Z77" i="3"/>
  <c r="AC77" i="3" s="1"/>
  <c r="AI62" i="3"/>
  <c r="AI65" i="3"/>
  <c r="T79" i="3"/>
  <c r="T80" i="3" s="1"/>
  <c r="Z34" i="3"/>
  <c r="Z35" i="3" s="1"/>
  <c r="W79" i="3"/>
  <c r="W80" i="3" s="1"/>
  <c r="I100" i="3" s="1"/>
  <c r="T34" i="3"/>
  <c r="V9" i="3"/>
  <c r="AC9" i="3" s="1"/>
  <c r="AG30" i="3"/>
  <c r="AG34" i="3" s="1"/>
  <c r="AG94" i="3" s="1"/>
  <c r="D70" i="3"/>
  <c r="D79" i="3" s="1"/>
  <c r="N79" i="3"/>
  <c r="N80" i="3" s="1"/>
  <c r="K79" i="3"/>
  <c r="K80" i="3" s="1"/>
  <c r="Y79" i="3"/>
  <c r="E79" i="3"/>
  <c r="E80" i="3" s="1"/>
  <c r="R79" i="3"/>
  <c r="R80" i="3" s="1"/>
  <c r="G34" i="3"/>
  <c r="AE34" i="3"/>
  <c r="AE94" i="3" s="1"/>
  <c r="W34" i="3"/>
  <c r="W35" i="3" s="1"/>
  <c r="AI20" i="3"/>
  <c r="L79" i="3"/>
  <c r="L80" i="3" s="1"/>
  <c r="AA79" i="3"/>
  <c r="D86" i="3"/>
  <c r="O79" i="3"/>
  <c r="O80" i="3" s="1"/>
  <c r="L34" i="3"/>
  <c r="AF34" i="3"/>
  <c r="AF94" i="3" s="1"/>
  <c r="AI24" i="3"/>
  <c r="AI29" i="3"/>
  <c r="AI47" i="3"/>
  <c r="AI52" i="3"/>
  <c r="I30" i="3"/>
  <c r="I34" i="3" s="1"/>
  <c r="N30" i="3"/>
  <c r="N34" i="3" s="1"/>
  <c r="O30" i="3"/>
  <c r="O34" i="3" s="1"/>
  <c r="I55" i="3"/>
  <c r="M79" i="3"/>
  <c r="M80" i="3" s="1"/>
  <c r="AF79" i="3"/>
  <c r="AF80" i="3" s="1"/>
  <c r="AI60" i="3"/>
  <c r="H79" i="3"/>
  <c r="H80" i="3" s="1"/>
  <c r="H97" i="3" s="1"/>
  <c r="AI67" i="3"/>
  <c r="AI78" i="3"/>
  <c r="V87" i="3"/>
  <c r="V88" i="3" s="1"/>
  <c r="J34" i="3"/>
  <c r="R34" i="3"/>
  <c r="AI16" i="3"/>
  <c r="AI23" i="3"/>
  <c r="V55" i="3"/>
  <c r="AC55" i="3" s="1"/>
  <c r="AI53" i="3"/>
  <c r="F55" i="3"/>
  <c r="AG79" i="3"/>
  <c r="AG80" i="3" s="1"/>
  <c r="P79" i="3"/>
  <c r="P80" i="3" s="1"/>
  <c r="AI72" i="3"/>
  <c r="AI85" i="3"/>
  <c r="AI26" i="3"/>
  <c r="AI71" i="3"/>
  <c r="Q79" i="3"/>
  <c r="AI54" i="3"/>
  <c r="S79" i="3"/>
  <c r="S80" i="3" s="1"/>
  <c r="AE79" i="3"/>
  <c r="AE80" i="3" s="1"/>
  <c r="AI63" i="3"/>
  <c r="AI73" i="3"/>
  <c r="V44" i="3"/>
  <c r="AC44" i="3" s="1"/>
  <c r="AI84" i="3"/>
  <c r="E34" i="3"/>
  <c r="AI10" i="3"/>
  <c r="I79" i="3"/>
  <c r="X79" i="3"/>
  <c r="AI59" i="3"/>
  <c r="AI61" i="3"/>
  <c r="AI64" i="3"/>
  <c r="S34" i="3"/>
  <c r="M34" i="3"/>
  <c r="AI7" i="3"/>
  <c r="AD79" i="3"/>
  <c r="AD80" i="3" s="1"/>
  <c r="AI74" i="3"/>
  <c r="X34" i="3"/>
  <c r="X35" i="3" s="1"/>
  <c r="C30" i="3"/>
  <c r="K34" i="3"/>
  <c r="Y34" i="3"/>
  <c r="Y35" i="3" s="1"/>
  <c r="D55" i="3"/>
  <c r="AI51" i="3"/>
  <c r="F79" i="3"/>
  <c r="Q44" i="3"/>
  <c r="AI42" i="3"/>
  <c r="C79" i="3"/>
  <c r="C80" i="3" s="1"/>
  <c r="C97" i="3" s="1"/>
  <c r="G77" i="3"/>
  <c r="G79" i="3" s="1"/>
  <c r="G80" i="3" s="1"/>
  <c r="Q34" i="3"/>
  <c r="AA34" i="3"/>
  <c r="AA35" i="3" s="1"/>
  <c r="C87" i="3"/>
  <c r="D25" i="3"/>
  <c r="U79" i="3"/>
  <c r="F30" i="3"/>
  <c r="F34" i="3" s="1"/>
  <c r="V30" i="3"/>
  <c r="AC30" i="3" s="1"/>
  <c r="U34" i="3"/>
  <c r="AI40" i="3"/>
  <c r="AI15" i="3"/>
  <c r="AI49" i="3"/>
  <c r="U87" i="3"/>
  <c r="AC87" i="3" s="1"/>
  <c r="AI57" i="3"/>
  <c r="AI75" i="3"/>
  <c r="AF97" i="3" l="1"/>
  <c r="AF101" i="3" s="1"/>
  <c r="AE97" i="3"/>
  <c r="AE101" i="3" s="1"/>
  <c r="AD97" i="3"/>
  <c r="AD98" i="3" s="1"/>
  <c r="AB81" i="3"/>
  <c r="AB89" i="3" s="1"/>
  <c r="AG97" i="3"/>
  <c r="H94" i="3"/>
  <c r="AF35" i="3"/>
  <c r="AF81" i="3" s="1"/>
  <c r="AF89" i="3" s="1"/>
  <c r="AE35" i="3"/>
  <c r="AE81" i="3" s="1"/>
  <c r="AE89" i="3" s="1"/>
  <c r="AG35" i="3"/>
  <c r="AG81" i="3" s="1"/>
  <c r="AG89" i="3" s="1"/>
  <c r="AD35" i="3"/>
  <c r="AD81" i="3" s="1"/>
  <c r="AD89" i="3" s="1"/>
  <c r="AI9" i="3"/>
  <c r="Y80" i="3"/>
  <c r="Y81" i="3" s="1"/>
  <c r="Y89" i="3" s="1"/>
  <c r="M100" i="3"/>
  <c r="X80" i="3"/>
  <c r="X81" i="3" s="1"/>
  <c r="X89" i="3" s="1"/>
  <c r="K100" i="3"/>
  <c r="AA80" i="3"/>
  <c r="AA81" i="3" s="1"/>
  <c r="AA89" i="3" s="1"/>
  <c r="P100" i="3"/>
  <c r="Z79" i="3"/>
  <c r="Z80" i="3" s="1"/>
  <c r="Z81" i="3" s="1"/>
  <c r="Z89" i="3" s="1"/>
  <c r="O100" i="3"/>
  <c r="T97" i="3"/>
  <c r="T101" i="3" s="1"/>
  <c r="F35" i="3"/>
  <c r="F94" i="3"/>
  <c r="N97" i="3"/>
  <c r="N101" i="3" s="1"/>
  <c r="G35" i="3"/>
  <c r="G81" i="3" s="1"/>
  <c r="G89" i="3" s="1"/>
  <c r="G94" i="3"/>
  <c r="R97" i="3"/>
  <c r="R101" i="3" s="1"/>
  <c r="D87" i="3"/>
  <c r="D88" i="3" s="1"/>
  <c r="D95" i="3"/>
  <c r="AI95" i="3" s="1"/>
  <c r="E97" i="3"/>
  <c r="E101" i="3" s="1"/>
  <c r="S35" i="3"/>
  <c r="S81" i="3" s="1"/>
  <c r="S89" i="3" s="1"/>
  <c r="S94" i="3"/>
  <c r="Q35" i="3"/>
  <c r="Q94" i="3"/>
  <c r="S97" i="3"/>
  <c r="S101" i="3" s="1"/>
  <c r="R35" i="3"/>
  <c r="R94" i="3"/>
  <c r="M97" i="3"/>
  <c r="M101" i="3" s="1"/>
  <c r="J97" i="3"/>
  <c r="J101" i="3" s="1"/>
  <c r="T35" i="3"/>
  <c r="T81" i="3" s="1"/>
  <c r="T89" i="3" s="1"/>
  <c r="T94" i="3"/>
  <c r="N35" i="3"/>
  <c r="N81" i="3" s="1"/>
  <c r="N89" i="3" s="1"/>
  <c r="N94" i="3"/>
  <c r="G97" i="3"/>
  <c r="G101" i="3" s="1"/>
  <c r="K35" i="3"/>
  <c r="K81" i="3" s="1"/>
  <c r="K89" i="3" s="1"/>
  <c r="K94" i="3"/>
  <c r="P97" i="3"/>
  <c r="J35" i="3"/>
  <c r="J81" i="3" s="1"/>
  <c r="J89" i="3" s="1"/>
  <c r="J94" i="3"/>
  <c r="L97" i="3"/>
  <c r="L101" i="3" s="1"/>
  <c r="K97" i="3"/>
  <c r="I35" i="3"/>
  <c r="I94" i="3"/>
  <c r="L35" i="3"/>
  <c r="L81" i="3" s="1"/>
  <c r="L89" i="3" s="1"/>
  <c r="L94" i="3"/>
  <c r="O97" i="3"/>
  <c r="P35" i="3"/>
  <c r="P81" i="3" s="1"/>
  <c r="P89" i="3" s="1"/>
  <c r="P94" i="3"/>
  <c r="M35" i="3"/>
  <c r="M81" i="3" s="1"/>
  <c r="M89" i="3" s="1"/>
  <c r="M94" i="3"/>
  <c r="E35" i="3"/>
  <c r="E81" i="3" s="1"/>
  <c r="E89" i="3" s="1"/>
  <c r="E94" i="3"/>
  <c r="E98" i="3" s="1"/>
  <c r="O35" i="3"/>
  <c r="O94" i="3"/>
  <c r="AI77" i="3"/>
  <c r="H81" i="3"/>
  <c r="H89" i="3" s="1"/>
  <c r="AI86" i="3"/>
  <c r="AI70" i="3"/>
  <c r="V34" i="3"/>
  <c r="V35" i="3" s="1"/>
  <c r="V80" i="3"/>
  <c r="I80" i="3"/>
  <c r="I97" i="3" s="1"/>
  <c r="F80" i="3"/>
  <c r="F97" i="3" s="1"/>
  <c r="W81" i="3"/>
  <c r="W89" i="3" s="1"/>
  <c r="D80" i="3"/>
  <c r="D97" i="3" s="1"/>
  <c r="D101" i="3" s="1"/>
  <c r="AI44" i="3"/>
  <c r="AI25" i="3"/>
  <c r="Q80" i="3"/>
  <c r="Q97" i="3" s="1"/>
  <c r="D30" i="3"/>
  <c r="D34" i="3" s="1"/>
  <c r="AI55" i="3"/>
  <c r="U35" i="3"/>
  <c r="C88" i="3"/>
  <c r="C34" i="3"/>
  <c r="C94" i="3" s="1"/>
  <c r="U80" i="3"/>
  <c r="U88" i="3"/>
  <c r="AC88" i="3" s="1"/>
  <c r="AI100" i="3" l="1"/>
  <c r="C98" i="3"/>
  <c r="AF98" i="3"/>
  <c r="AD101" i="3"/>
  <c r="AE98" i="3"/>
  <c r="AC34" i="3"/>
  <c r="AC94" i="3" s="1"/>
  <c r="AC80" i="3"/>
  <c r="AG98" i="3"/>
  <c r="AG101" i="3"/>
  <c r="AC35" i="3"/>
  <c r="J98" i="3"/>
  <c r="AC79" i="3"/>
  <c r="AI79" i="3" s="1"/>
  <c r="K101" i="3"/>
  <c r="T98" i="3"/>
  <c r="L98" i="3"/>
  <c r="P101" i="3"/>
  <c r="G98" i="3"/>
  <c r="O101" i="3"/>
  <c r="S98" i="3"/>
  <c r="AI87" i="3"/>
  <c r="K98" i="3"/>
  <c r="D35" i="3"/>
  <c r="D81" i="3" s="1"/>
  <c r="D89" i="3" s="1"/>
  <c r="D94" i="3"/>
  <c r="D98" i="3" s="1"/>
  <c r="R98" i="3"/>
  <c r="M98" i="3"/>
  <c r="O98" i="3"/>
  <c r="R81" i="3"/>
  <c r="R89" i="3" s="1"/>
  <c r="N98" i="3"/>
  <c r="O81" i="3"/>
  <c r="O89" i="3" s="1"/>
  <c r="P98" i="3"/>
  <c r="Q81" i="3"/>
  <c r="Q89" i="3" s="1"/>
  <c r="H101" i="3"/>
  <c r="H98" i="3"/>
  <c r="F81" i="3"/>
  <c r="F89" i="3" s="1"/>
  <c r="I81" i="3"/>
  <c r="I89" i="3" s="1"/>
  <c r="V81" i="3"/>
  <c r="V89" i="3" s="1"/>
  <c r="U81" i="3"/>
  <c r="C35" i="3"/>
  <c r="AI30" i="3"/>
  <c r="AI88" i="3"/>
  <c r="AI97" i="3" l="1"/>
  <c r="AI101" i="3" s="1"/>
  <c r="AC96" i="3"/>
  <c r="AI96" i="3" s="1"/>
  <c r="AC98" i="3"/>
  <c r="AI94" i="3"/>
  <c r="AC81" i="3"/>
  <c r="AI80" i="3"/>
  <c r="AI34" i="3"/>
  <c r="F101" i="3"/>
  <c r="F98" i="3"/>
  <c r="Q101" i="3"/>
  <c r="Q98" i="3"/>
  <c r="I101" i="3"/>
  <c r="I98" i="3"/>
  <c r="C81" i="3"/>
  <c r="AI35" i="3"/>
  <c r="U89" i="3"/>
  <c r="AC89" i="3" s="1"/>
  <c r="AI98" i="3" l="1"/>
  <c r="AI81" i="3"/>
  <c r="C89" i="3"/>
  <c r="AI89" i="3" s="1"/>
</calcChain>
</file>

<file path=xl/sharedStrings.xml><?xml version="1.0" encoding="utf-8"?>
<sst xmlns="http://schemas.openxmlformats.org/spreadsheetml/2006/main" count="131" uniqueCount="125">
  <si>
    <t>Baseball</t>
  </si>
  <si>
    <t>Basketball - Boys</t>
  </si>
  <si>
    <t>Basketball - Girls</t>
  </si>
  <si>
    <t>Field of Dreams</t>
  </si>
  <si>
    <t>Golf - Boys</t>
  </si>
  <si>
    <t>Lacrosse - Boys</t>
  </si>
  <si>
    <t>Soccer - Boys</t>
  </si>
  <si>
    <t>Soccer - Girls</t>
  </si>
  <si>
    <t>Softball</t>
  </si>
  <si>
    <t>Swim &amp; Dive</t>
  </si>
  <si>
    <t>Tennis - Boys</t>
  </si>
  <si>
    <t>Track &amp; Field</t>
  </si>
  <si>
    <t>Unrestricted - General Fund</t>
  </si>
  <si>
    <t>Administration</t>
  </si>
  <si>
    <t>Total Unrestricted - General Fund</t>
  </si>
  <si>
    <t>Volleyball - Boys</t>
  </si>
  <si>
    <t>TOTAL</t>
  </si>
  <si>
    <t>Revenue</t>
  </si>
  <si>
    <t xml:space="preserve">   Donations</t>
  </si>
  <si>
    <t xml:space="preserve">   Fundraising Income</t>
  </si>
  <si>
    <t xml:space="preserve">      Amazon Smile</t>
  </si>
  <si>
    <t xml:space="preserve">      Gate</t>
  </si>
  <si>
    <t xml:space="preserve">      Golf tournament</t>
  </si>
  <si>
    <t xml:space="preserve">      Redline</t>
  </si>
  <si>
    <t xml:space="preserve">      Snack Bar Income</t>
  </si>
  <si>
    <t xml:space="preserve">         Basketball</t>
  </si>
  <si>
    <t xml:space="preserve">      Total Snack Bar Income</t>
  </si>
  <si>
    <t xml:space="preserve">      Vertical Raise Trust</t>
  </si>
  <si>
    <t xml:space="preserve">   Total Fundraising Income</t>
  </si>
  <si>
    <t xml:space="preserve">   Membership</t>
  </si>
  <si>
    <t xml:space="preserve">   Miscellaneous</t>
  </si>
  <si>
    <t>Total Revenue</t>
  </si>
  <si>
    <t>Gross Profit</t>
  </si>
  <si>
    <t>Expenditures</t>
  </si>
  <si>
    <t xml:space="preserve">   Administrative Expenses</t>
  </si>
  <si>
    <t xml:space="preserve">      Postage</t>
  </si>
  <si>
    <t xml:space="preserve">      Technology</t>
  </si>
  <si>
    <t xml:space="preserve">   Total Administrative Expenses</t>
  </si>
  <si>
    <t xml:space="preserve">   Fundraising Expenses</t>
  </si>
  <si>
    <t xml:space="preserve">      Jack Scott Tournament costs</t>
  </si>
  <si>
    <t xml:space="preserve">      Snack Bar</t>
  </si>
  <si>
    <t xml:space="preserve">   Total Fundraising Expenses</t>
  </si>
  <si>
    <t xml:space="preserve">   Sports Team Expenses</t>
  </si>
  <si>
    <t xml:space="preserve">      Athletic Equipment</t>
  </si>
  <si>
    <t xml:space="preserve">      Coach Training/Certifications</t>
  </si>
  <si>
    <t xml:space="preserve">      Coaches Apparel</t>
  </si>
  <si>
    <t xml:space="preserve">      Field Maintenance</t>
  </si>
  <si>
    <t xml:space="preserve">      Team Awards/Celebration</t>
  </si>
  <si>
    <t xml:space="preserve">      Team Uniforms</t>
  </si>
  <si>
    <t xml:space="preserve">         Player Packs</t>
  </si>
  <si>
    <t xml:space="preserve">      Total Team Uniforms</t>
  </si>
  <si>
    <t xml:space="preserve">      Tournament Fees</t>
  </si>
  <si>
    <t xml:space="preserve">   Total Sports Team Expenses</t>
  </si>
  <si>
    <t>Total Expenditures</t>
  </si>
  <si>
    <t>Net Operating Revenue</t>
  </si>
  <si>
    <t>Other Revenue</t>
  </si>
  <si>
    <t xml:space="preserve">   Interest Income</t>
  </si>
  <si>
    <t xml:space="preserve">   Pass-Through Income</t>
  </si>
  <si>
    <t xml:space="preserve">      Player Packs</t>
  </si>
  <si>
    <t xml:space="preserve">   Total Pass-Through Income</t>
  </si>
  <si>
    <t>Total Other Revenue</t>
  </si>
  <si>
    <t>Net Other Revenue</t>
  </si>
  <si>
    <t>Net Revenue</t>
  </si>
  <si>
    <t>Rio Americano Athletic Boosters, Inc.</t>
  </si>
  <si>
    <t>Statement of Activity by Class</t>
  </si>
  <si>
    <t>June 2022 - February 2023</t>
  </si>
  <si>
    <t>Cheer</t>
  </si>
  <si>
    <t>Cross Country</t>
  </si>
  <si>
    <t>Football</t>
  </si>
  <si>
    <t>Golf - Girls</t>
  </si>
  <si>
    <t>Lacrosse - Girls</t>
  </si>
  <si>
    <t>Tennis - Girls</t>
  </si>
  <si>
    <t>Water Polo - Boys</t>
  </si>
  <si>
    <t>Volleyball - Girls</t>
  </si>
  <si>
    <t>Water Polo - Girls</t>
  </si>
  <si>
    <t>Water Polo- Boys</t>
  </si>
  <si>
    <t xml:space="preserve">      Scholarship donations</t>
  </si>
  <si>
    <t xml:space="preserve">   Total Donations</t>
  </si>
  <si>
    <t xml:space="preserve">      Banner advertising</t>
  </si>
  <si>
    <t xml:space="preserve">      Cheer</t>
  </si>
  <si>
    <t xml:space="preserve">      Firework Booth</t>
  </si>
  <si>
    <t xml:space="preserve">      Football Camp</t>
  </si>
  <si>
    <t xml:space="preserve">      Jack Scott Tournament</t>
  </si>
  <si>
    <t xml:space="preserve">      Kings tickets</t>
  </si>
  <si>
    <t xml:space="preserve">      Merchandise sales</t>
  </si>
  <si>
    <t xml:space="preserve">         Football</t>
  </si>
  <si>
    <t xml:space="preserve">      SNAP</t>
  </si>
  <si>
    <t xml:space="preserve">      Spring social event</t>
  </si>
  <si>
    <t xml:space="preserve">      Water Polo Tournament</t>
  </si>
  <si>
    <t xml:space="preserve">   Refunds</t>
  </si>
  <si>
    <t xml:space="preserve">      Bank Charges</t>
  </si>
  <si>
    <t xml:space="preserve">      Liability Insurance</t>
  </si>
  <si>
    <t xml:space="preserve">      Tax Return</t>
  </si>
  <si>
    <t xml:space="preserve">      Website</t>
  </si>
  <si>
    <t xml:space="preserve">      Banner purchases</t>
  </si>
  <si>
    <t xml:space="preserve">      Cheer Pasta Feed</t>
  </si>
  <si>
    <t xml:space="preserve">      Fireworks Booth</t>
  </si>
  <si>
    <t xml:space="preserve">      Football camp</t>
  </si>
  <si>
    <t xml:space="preserve">      GameOn Event</t>
  </si>
  <si>
    <t xml:space="preserve">      Kings Tickets</t>
  </si>
  <si>
    <t xml:space="preserve">      Capital Equipment</t>
  </si>
  <si>
    <t xml:space="preserve">      Facility fees</t>
  </si>
  <si>
    <t xml:space="preserve">      Finger Printing Reimbursements</t>
  </si>
  <si>
    <t xml:space="preserve">      General Programs Expense</t>
  </si>
  <si>
    <t xml:space="preserve">      Office supplies</t>
  </si>
  <si>
    <t xml:space="preserve">      Permit Fees</t>
  </si>
  <si>
    <t xml:space="preserve">      Senior gifts</t>
  </si>
  <si>
    <t xml:space="preserve">      Stipends</t>
  </si>
  <si>
    <t xml:space="preserve">         Direct Pay (1099)</t>
  </si>
  <si>
    <t xml:space="preserve">      Total Stipends</t>
  </si>
  <si>
    <t xml:space="preserve">      Team Camps</t>
  </si>
  <si>
    <t xml:space="preserve">      Team Meals</t>
  </si>
  <si>
    <t xml:space="preserve">      Team Travel</t>
  </si>
  <si>
    <t>Expenses - Unrestricted</t>
  </si>
  <si>
    <t>Jack Scott - for Scholarships</t>
  </si>
  <si>
    <t>Wresling</t>
  </si>
  <si>
    <t>TRANSFERS - Jack Scott proceeds to Basketball, less amounts for scholarships</t>
  </si>
  <si>
    <t>Revenue - Pass-through income player packs/trips</t>
  </si>
  <si>
    <t>Sport Expenses - Unrestricted</t>
  </si>
  <si>
    <t>Net Sport Expenses, as of 2/28/23</t>
  </si>
  <si>
    <t>Sport Expenses  - Restricted</t>
  </si>
  <si>
    <t>ACTIVITY RECON THROUGH 2/28/23:</t>
  </si>
  <si>
    <t xml:space="preserve">Revenues </t>
  </si>
  <si>
    <t>Beg Bal - Net Assets (CASH)</t>
  </si>
  <si>
    <t>Ending balance  - Net Assets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</si>
</sst>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\ _€"/>
    <numFmt numFmtId="165" formatCode="&quot;$&quot;* #,##0.00\ _€"/>
  </numFmts>
  <fonts count="1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164" fontId="8" fillId="0" borderId="0" xfId="0" applyNumberFormat="1" applyFont="1" applyAlignment="1">
      <alignment wrapText="1"/>
    </xf>
    <xf numFmtId="164" fontId="8" fillId="0" borderId="0" xfId="0" applyNumberFormat="1" applyFont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164" fontId="8" fillId="2" borderId="0" xfId="0" applyNumberFormat="1" applyFont="1" applyFill="1" applyAlignment="1">
      <alignment horizontal="right" wrapText="1"/>
    </xf>
    <xf numFmtId="0" fontId="7" fillId="2" borderId="1" xfId="0" applyFont="1" applyFill="1" applyBorder="1" applyAlignment="1">
      <alignment horizontal="center" wrapText="1"/>
    </xf>
    <xf numFmtId="164" fontId="8" fillId="2" borderId="0" xfId="0" applyNumberFormat="1" applyFont="1" applyFill="1" applyAlignment="1">
      <alignment wrapText="1"/>
    </xf>
    <xf numFmtId="165" fontId="4" fillId="2" borderId="2" xfId="0" applyNumberFormat="1" applyFont="1" applyFill="1" applyBorder="1" applyAlignment="1">
      <alignment horizontal="right" wrapText="1"/>
    </xf>
    <xf numFmtId="0" fontId="0" fillId="2" borderId="0" xfId="0" applyFill="1"/>
    <xf numFmtId="165" fontId="3" fillId="0" borderId="0" xfId="0" applyNumberFormat="1" applyFont="1" applyAlignment="1">
      <alignment horizontal="right" wrapText="1"/>
    </xf>
    <xf numFmtId="165" fontId="3" fillId="2" borderId="0" xfId="0" applyNumberFormat="1" applyFont="1" applyFill="1" applyAlignment="1">
      <alignment horizontal="right" wrapText="1"/>
    </xf>
    <xf numFmtId="0" fontId="10" fillId="0" borderId="0" xfId="0" applyFont="1" applyAlignment="1">
      <alignment horizontal="left" wrapText="1"/>
    </xf>
    <xf numFmtId="165" fontId="10" fillId="0" borderId="2" xfId="0" applyNumberFormat="1" applyFont="1" applyBorder="1" applyAlignment="1">
      <alignment horizontal="right" wrapText="1"/>
    </xf>
    <xf numFmtId="165" fontId="10" fillId="2" borderId="2" xfId="0" applyNumberFormat="1" applyFont="1" applyFill="1" applyBorder="1" applyAlignment="1">
      <alignment horizontal="right" wrapText="1"/>
    </xf>
    <xf numFmtId="0" fontId="11" fillId="0" borderId="0" xfId="0" applyFont="1"/>
    <xf numFmtId="43" fontId="10" fillId="2" borderId="0" xfId="1" applyFont="1" applyFill="1" applyAlignment="1">
      <alignment horizontal="left" wrapText="1"/>
    </xf>
    <xf numFmtId="164" fontId="10" fillId="2" borderId="0" xfId="0" applyNumberFormat="1" applyFont="1" applyFill="1" applyAlignment="1">
      <alignment wrapText="1"/>
    </xf>
    <xf numFmtId="0" fontId="10" fillId="3" borderId="0" xfId="0" applyFont="1" applyFill="1" applyAlignment="1">
      <alignment horizontal="left" wrapText="1"/>
    </xf>
    <xf numFmtId="43" fontId="10" fillId="3" borderId="0" xfId="1" applyFont="1" applyFill="1" applyAlignment="1">
      <alignment horizontal="left" wrapText="1"/>
    </xf>
    <xf numFmtId="0" fontId="9" fillId="3" borderId="0" xfId="0" applyFont="1" applyFill="1"/>
    <xf numFmtId="0" fontId="10" fillId="4" borderId="0" xfId="0" applyFont="1" applyFill="1" applyAlignment="1">
      <alignment horizontal="left" wrapText="1"/>
    </xf>
    <xf numFmtId="43" fontId="10" fillId="4" borderId="0" xfId="1" applyFont="1" applyFill="1" applyAlignment="1">
      <alignment horizontal="left" wrapText="1"/>
    </xf>
    <xf numFmtId="164" fontId="10" fillId="4" borderId="0" xfId="0" applyNumberFormat="1" applyFont="1" applyFill="1" applyAlignment="1">
      <alignment wrapText="1"/>
    </xf>
    <xf numFmtId="0" fontId="9" fillId="4" borderId="0" xfId="0" applyFont="1" applyFill="1"/>
    <xf numFmtId="164" fontId="10" fillId="3" borderId="1" xfId="0" applyNumberFormat="1" applyFont="1" applyFill="1" applyBorder="1" applyAlignment="1">
      <alignment wrapText="1"/>
    </xf>
    <xf numFmtId="43" fontId="10" fillId="3" borderId="1" xfId="1" applyFont="1" applyFill="1" applyBorder="1" applyAlignment="1">
      <alignment horizontal="left" wrapText="1"/>
    </xf>
    <xf numFmtId="164" fontId="10" fillId="3" borderId="0" xfId="0" applyNumberFormat="1" applyFont="1" applyFill="1" applyAlignment="1">
      <alignment wrapText="1"/>
    </xf>
    <xf numFmtId="164" fontId="10" fillId="5" borderId="0" xfId="0" applyNumberFormat="1" applyFont="1" applyFill="1" applyAlignment="1">
      <alignment wrapText="1"/>
    </xf>
    <xf numFmtId="0" fontId="10" fillId="3" borderId="1" xfId="0" applyFont="1" applyFill="1" applyBorder="1" applyAlignment="1">
      <alignment horizontal="left" wrapText="1"/>
    </xf>
    <xf numFmtId="0" fontId="9" fillId="3" borderId="1" xfId="0" applyFont="1" applyFill="1" applyBorder="1"/>
    <xf numFmtId="0" fontId="10" fillId="5" borderId="0" xfId="0" applyFont="1" applyFill="1" applyAlignment="1">
      <alignment horizontal="left" wrapText="1"/>
    </xf>
    <xf numFmtId="43" fontId="10" fillId="5" borderId="0" xfId="1" applyFont="1" applyFill="1" applyAlignment="1">
      <alignment horizontal="left" wrapText="1"/>
    </xf>
    <xf numFmtId="0" fontId="11" fillId="5" borderId="0" xfId="0" applyFont="1" applyFill="1"/>
    <xf numFmtId="0" fontId="9" fillId="5" borderId="0" xfId="0" applyFont="1" applyFill="1"/>
    <xf numFmtId="0" fontId="12" fillId="5" borderId="0" xfId="0" applyFont="1" applyFill="1" applyAlignment="1">
      <alignment horizontal="left" wrapText="1"/>
    </xf>
    <xf numFmtId="0" fontId="3" fillId="5" borderId="0" xfId="0" applyFont="1" applyFill="1" applyAlignment="1">
      <alignment horizontal="left" wrapText="1"/>
    </xf>
    <xf numFmtId="165" fontId="3" fillId="5" borderId="0" xfId="0" applyNumberFormat="1" applyFont="1" applyFill="1" applyAlignment="1">
      <alignment horizontal="right" wrapText="1"/>
    </xf>
    <xf numFmtId="0" fontId="2" fillId="5" borderId="0" xfId="0" applyFont="1" applyFill="1"/>
    <xf numFmtId="0" fontId="0" fillId="0" borderId="0" xfId="0" applyFill="1"/>
    <xf numFmtId="43" fontId="10" fillId="2" borderId="1" xfId="1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1"/>
  <sheetViews>
    <sheetView tabSelected="1" workbookViewId="0">
      <pane xSplit="1" ySplit="5" topLeftCell="D21" activePane="bottomRight" state="frozen"/>
      <selection pane="topRight" activeCell="B1" sqref="B1"/>
      <selection pane="bottomLeft" activeCell="A6" sqref="A6"/>
      <selection pane="bottomRight" activeCell="A100" sqref="A100"/>
    </sheetView>
  </sheetViews>
  <sheetFormatPr defaultRowHeight="15" x14ac:dyDescent="0.25"/>
  <cols>
    <col min="1" max="1" width="31.7109375" customWidth="1"/>
    <col min="2" max="2" width="11.7109375" customWidth="1"/>
    <col min="3" max="3" width="10.28515625" customWidth="1"/>
    <col min="4" max="4" width="9.42578125" customWidth="1"/>
    <col min="5" max="5" width="9.7109375" customWidth="1"/>
    <col min="6" max="6" width="11.28515625" customWidth="1"/>
    <col min="7" max="8" width="10.28515625" customWidth="1"/>
    <col min="9" max="9" width="11.28515625" customWidth="1"/>
    <col min="10" max="12" width="8.5703125" customWidth="1"/>
    <col min="13" max="13" width="10.28515625" customWidth="1"/>
    <col min="14" max="14" width="8.5703125" customWidth="1"/>
    <col min="15" max="15" width="9.42578125" customWidth="1"/>
    <col min="16" max="16" width="8.5703125" customWidth="1"/>
    <col min="17" max="17" width="10.28515625" customWidth="1"/>
    <col min="18" max="18" width="8.5703125" customWidth="1"/>
    <col min="19" max="20" width="10.28515625" customWidth="1"/>
    <col min="21" max="21" width="11.85546875" style="13" customWidth="1"/>
    <col min="22" max="22" width="12.7109375" style="13" customWidth="1"/>
    <col min="23" max="24" width="10.28515625" style="13" customWidth="1"/>
    <col min="25" max="25" width="9.5703125" style="13" customWidth="1"/>
    <col min="26" max="26" width="10.28515625" style="13" customWidth="1"/>
    <col min="27" max="27" width="8.5703125" style="13" customWidth="1"/>
    <col min="28" max="28" width="9.28515625" style="13" customWidth="1"/>
    <col min="29" max="29" width="12.7109375" style="13" customWidth="1"/>
    <col min="30" max="35" width="10.28515625" customWidth="1"/>
  </cols>
  <sheetData>
    <row r="1" spans="1:35" ht="18" x14ac:dyDescent="0.25">
      <c r="A1" s="45" t="s">
        <v>63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spans="1:35" ht="18" x14ac:dyDescent="0.25">
      <c r="A2" s="45" t="s">
        <v>64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x14ac:dyDescent="0.25">
      <c r="A3" s="47" t="s">
        <v>65</v>
      </c>
      <c r="B3" s="47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</row>
    <row r="4" spans="1:35" x14ac:dyDescent="0.25">
      <c r="A4" s="43"/>
    </row>
    <row r="5" spans="1:35" ht="36.75" x14ac:dyDescent="0.25">
      <c r="A5" s="1"/>
      <c r="B5" s="5" t="s">
        <v>114</v>
      </c>
      <c r="C5" s="5" t="s">
        <v>0</v>
      </c>
      <c r="D5" s="5" t="s">
        <v>1</v>
      </c>
      <c r="E5" s="5" t="s">
        <v>2</v>
      </c>
      <c r="F5" s="5" t="s">
        <v>66</v>
      </c>
      <c r="G5" s="5" t="s">
        <v>67</v>
      </c>
      <c r="H5" s="5" t="s">
        <v>3</v>
      </c>
      <c r="I5" s="5" t="s">
        <v>68</v>
      </c>
      <c r="J5" s="5" t="s">
        <v>4</v>
      </c>
      <c r="K5" s="5" t="s">
        <v>69</v>
      </c>
      <c r="L5" s="5" t="s">
        <v>5</v>
      </c>
      <c r="M5" s="5" t="s">
        <v>70</v>
      </c>
      <c r="N5" s="5" t="s">
        <v>6</v>
      </c>
      <c r="O5" s="5" t="s">
        <v>7</v>
      </c>
      <c r="P5" s="5" t="s">
        <v>8</v>
      </c>
      <c r="Q5" s="5" t="s">
        <v>9</v>
      </c>
      <c r="R5" s="5" t="s">
        <v>10</v>
      </c>
      <c r="S5" s="5" t="s">
        <v>71</v>
      </c>
      <c r="T5" s="5" t="s">
        <v>11</v>
      </c>
      <c r="U5" s="10" t="s">
        <v>12</v>
      </c>
      <c r="V5" s="10" t="s">
        <v>13</v>
      </c>
      <c r="W5" s="10" t="s">
        <v>68</v>
      </c>
      <c r="X5" s="10" t="s">
        <v>69</v>
      </c>
      <c r="Y5" s="10" t="s">
        <v>70</v>
      </c>
      <c r="Z5" s="10" t="s">
        <v>7</v>
      </c>
      <c r="AA5" s="10" t="s">
        <v>8</v>
      </c>
      <c r="AB5" s="10" t="s">
        <v>72</v>
      </c>
      <c r="AC5" s="10" t="s">
        <v>14</v>
      </c>
      <c r="AD5" s="5" t="s">
        <v>15</v>
      </c>
      <c r="AE5" s="5" t="s">
        <v>73</v>
      </c>
      <c r="AF5" s="5" t="s">
        <v>74</v>
      </c>
      <c r="AG5" s="5" t="s">
        <v>75</v>
      </c>
      <c r="AH5" s="5" t="s">
        <v>115</v>
      </c>
      <c r="AI5" s="5" t="s">
        <v>16</v>
      </c>
    </row>
    <row r="6" spans="1:35" x14ac:dyDescent="0.25">
      <c r="A6" s="3" t="s">
        <v>17</v>
      </c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1"/>
      <c r="V6" s="11"/>
      <c r="W6" s="11"/>
      <c r="X6" s="11"/>
      <c r="Y6" s="11"/>
      <c r="Z6" s="11"/>
      <c r="AA6" s="11"/>
      <c r="AB6" s="11"/>
      <c r="AC6" s="11"/>
      <c r="AD6" s="6"/>
      <c r="AE6" s="6"/>
      <c r="AF6" s="6"/>
      <c r="AG6" s="6"/>
      <c r="AH6" s="6"/>
      <c r="AI6" s="6"/>
    </row>
    <row r="7" spans="1:35" x14ac:dyDescent="0.25">
      <c r="A7" s="3" t="s">
        <v>18</v>
      </c>
      <c r="B7" s="3"/>
      <c r="C7" s="7">
        <f>100</f>
        <v>100</v>
      </c>
      <c r="D7" s="7">
        <f>350</f>
        <v>350</v>
      </c>
      <c r="E7" s="7">
        <f>6176.92</f>
        <v>6176.92</v>
      </c>
      <c r="F7" s="7">
        <f>2575</f>
        <v>2575</v>
      </c>
      <c r="G7" s="7">
        <f>1500</f>
        <v>1500</v>
      </c>
      <c r="H7" s="6"/>
      <c r="I7" s="7">
        <f>200</f>
        <v>200</v>
      </c>
      <c r="J7" s="7">
        <f>1440.87</f>
        <v>1440.87</v>
      </c>
      <c r="K7" s="7">
        <f>250</f>
        <v>250</v>
      </c>
      <c r="L7" s="7">
        <f>9187.8</f>
        <v>9187.7999999999993</v>
      </c>
      <c r="M7" s="7">
        <f>243.9</f>
        <v>243.9</v>
      </c>
      <c r="N7" s="7">
        <f>1024.8</f>
        <v>1024.8</v>
      </c>
      <c r="O7" s="7">
        <f>1355.7</f>
        <v>1355.7</v>
      </c>
      <c r="P7" s="7">
        <f>72.52</f>
        <v>72.52</v>
      </c>
      <c r="Q7" s="7">
        <f>245</f>
        <v>245</v>
      </c>
      <c r="R7" s="7">
        <f>40</f>
        <v>40</v>
      </c>
      <c r="S7" s="7">
        <f>840</f>
        <v>840</v>
      </c>
      <c r="T7" s="7">
        <f>243.6</f>
        <v>243.6</v>
      </c>
      <c r="U7" s="11"/>
      <c r="V7" s="9">
        <f>6333.88</f>
        <v>6333.88</v>
      </c>
      <c r="W7" s="11"/>
      <c r="X7" s="11"/>
      <c r="Y7" s="11"/>
      <c r="Z7" s="11"/>
      <c r="AA7" s="11"/>
      <c r="AB7" s="9">
        <f>270-270</f>
        <v>0</v>
      </c>
      <c r="AC7" s="9">
        <f>(((((((U7)+(V7))+(W7))+(X7))+(Y7))+(Z7))+(AA7))</f>
        <v>6333.88</v>
      </c>
      <c r="AD7" s="7">
        <f>530</f>
        <v>530</v>
      </c>
      <c r="AE7" s="7">
        <f>250</f>
        <v>250</v>
      </c>
      <c r="AF7" s="7">
        <f>130.29</f>
        <v>130.29</v>
      </c>
      <c r="AG7" s="7">
        <f>40.28+270</f>
        <v>310.27999999999997</v>
      </c>
      <c r="AH7" s="7"/>
      <c r="AI7" s="7">
        <f t="shared" ref="AI7:AI35" si="0">((((((((((((((((((((((C7)+(D7))+(E7))+(F7))+(G7))+(H7))+(I7))+(J7))+(K7))+(L7))+(M7))+(N7))+(O7))+(P7))+(Q7))+(R7))+(S7))+(T7))+(AC7))+(AD7))+(AE7))+(AF7))+(AG7)</f>
        <v>33400.560000000005</v>
      </c>
    </row>
    <row r="8" spans="1:35" x14ac:dyDescent="0.25">
      <c r="A8" s="3" t="s">
        <v>76</v>
      </c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1"/>
      <c r="V8" s="9">
        <f>0</f>
        <v>0</v>
      </c>
      <c r="W8" s="11"/>
      <c r="X8" s="11"/>
      <c r="Y8" s="11"/>
      <c r="Z8" s="11"/>
      <c r="AA8" s="11"/>
      <c r="AB8" s="11"/>
      <c r="AC8" s="9">
        <f t="shared" ref="AC8:AC35" si="1">(((((((U8)+(V8))+(W8))+(X8))+(Y8))+(Z8))+(AA8))+(AB8)</f>
        <v>0</v>
      </c>
      <c r="AD8" s="6"/>
      <c r="AE8" s="6"/>
      <c r="AF8" s="6"/>
      <c r="AG8" s="6"/>
      <c r="AH8" s="6"/>
      <c r="AI8" s="7">
        <f t="shared" si="0"/>
        <v>0</v>
      </c>
    </row>
    <row r="9" spans="1:35" x14ac:dyDescent="0.25">
      <c r="A9" s="3" t="s">
        <v>77</v>
      </c>
      <c r="B9" s="3"/>
      <c r="C9" s="8">
        <f t="shared" ref="C9:AB9" si="2">(C7)+(C8)</f>
        <v>100</v>
      </c>
      <c r="D9" s="8">
        <f t="shared" si="2"/>
        <v>350</v>
      </c>
      <c r="E9" s="8">
        <f t="shared" si="2"/>
        <v>6176.92</v>
      </c>
      <c r="F9" s="8">
        <f t="shared" si="2"/>
        <v>2575</v>
      </c>
      <c r="G9" s="8">
        <f t="shared" si="2"/>
        <v>1500</v>
      </c>
      <c r="H9" s="8">
        <f t="shared" si="2"/>
        <v>0</v>
      </c>
      <c r="I9" s="8">
        <f t="shared" si="2"/>
        <v>200</v>
      </c>
      <c r="J9" s="8">
        <f t="shared" si="2"/>
        <v>1440.87</v>
      </c>
      <c r="K9" s="8">
        <f t="shared" si="2"/>
        <v>250</v>
      </c>
      <c r="L9" s="8">
        <f t="shared" si="2"/>
        <v>9187.7999999999993</v>
      </c>
      <c r="M9" s="8">
        <f t="shared" si="2"/>
        <v>243.9</v>
      </c>
      <c r="N9" s="8">
        <f t="shared" si="2"/>
        <v>1024.8</v>
      </c>
      <c r="O9" s="8">
        <f t="shared" si="2"/>
        <v>1355.7</v>
      </c>
      <c r="P9" s="8">
        <f t="shared" si="2"/>
        <v>72.52</v>
      </c>
      <c r="Q9" s="8">
        <f t="shared" si="2"/>
        <v>245</v>
      </c>
      <c r="R9" s="8">
        <f t="shared" si="2"/>
        <v>40</v>
      </c>
      <c r="S9" s="8">
        <f t="shared" si="2"/>
        <v>840</v>
      </c>
      <c r="T9" s="8">
        <f t="shared" si="2"/>
        <v>243.6</v>
      </c>
      <c r="U9" s="12">
        <f t="shared" si="2"/>
        <v>0</v>
      </c>
      <c r="V9" s="12">
        <f t="shared" si="2"/>
        <v>6333.88</v>
      </c>
      <c r="W9" s="12">
        <f t="shared" si="2"/>
        <v>0</v>
      </c>
      <c r="X9" s="12">
        <f t="shared" si="2"/>
        <v>0</v>
      </c>
      <c r="Y9" s="12">
        <f t="shared" si="2"/>
        <v>0</v>
      </c>
      <c r="Z9" s="12">
        <f t="shared" si="2"/>
        <v>0</v>
      </c>
      <c r="AA9" s="12">
        <f t="shared" si="2"/>
        <v>0</v>
      </c>
      <c r="AB9" s="12">
        <f t="shared" si="2"/>
        <v>0</v>
      </c>
      <c r="AC9" s="12">
        <f t="shared" si="1"/>
        <v>6333.88</v>
      </c>
      <c r="AD9" s="8">
        <f>(AD7)+(AD8)</f>
        <v>530</v>
      </c>
      <c r="AE9" s="8">
        <f>(AE7)+(AE8)</f>
        <v>250</v>
      </c>
      <c r="AF9" s="8">
        <f>(AF7)+(AF8)</f>
        <v>130.29</v>
      </c>
      <c r="AG9" s="8">
        <f>(AG7)+(AG8)</f>
        <v>310.27999999999997</v>
      </c>
      <c r="AH9" s="8"/>
      <c r="AI9" s="8">
        <f t="shared" si="0"/>
        <v>33400.560000000005</v>
      </c>
    </row>
    <row r="10" spans="1:35" x14ac:dyDescent="0.25">
      <c r="A10" s="3" t="s">
        <v>19</v>
      </c>
      <c r="B10" s="3"/>
      <c r="C10" s="6"/>
      <c r="D10" s="6"/>
      <c r="E10" s="6"/>
      <c r="F10" s="7">
        <f>6100</f>
        <v>6100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1"/>
      <c r="V10" s="9">
        <f>350</f>
        <v>350</v>
      </c>
      <c r="W10" s="11"/>
      <c r="X10" s="11"/>
      <c r="Y10" s="11"/>
      <c r="Z10" s="11"/>
      <c r="AA10" s="11"/>
      <c r="AB10" s="11"/>
      <c r="AC10" s="9">
        <f t="shared" si="1"/>
        <v>350</v>
      </c>
      <c r="AD10" s="6"/>
      <c r="AE10" s="6"/>
      <c r="AF10" s="6"/>
      <c r="AG10" s="6"/>
      <c r="AH10" s="6"/>
      <c r="AI10" s="7">
        <f t="shared" si="0"/>
        <v>6450</v>
      </c>
    </row>
    <row r="11" spans="1:35" x14ac:dyDescent="0.25">
      <c r="A11" s="3" t="s">
        <v>20</v>
      </c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11"/>
      <c r="V11" s="9">
        <f>133.74</f>
        <v>133.74</v>
      </c>
      <c r="W11" s="11"/>
      <c r="X11" s="11"/>
      <c r="Y11" s="11"/>
      <c r="Z11" s="11"/>
      <c r="AA11" s="11"/>
      <c r="AB11" s="11"/>
      <c r="AC11" s="9">
        <f t="shared" si="1"/>
        <v>133.74</v>
      </c>
      <c r="AD11" s="6"/>
      <c r="AE11" s="6"/>
      <c r="AF11" s="6"/>
      <c r="AG11" s="6"/>
      <c r="AH11" s="6"/>
      <c r="AI11" s="7">
        <f t="shared" si="0"/>
        <v>133.74</v>
      </c>
    </row>
    <row r="12" spans="1:35" x14ac:dyDescent="0.25">
      <c r="A12" s="3" t="s">
        <v>78</v>
      </c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11"/>
      <c r="V12" s="9">
        <f>1900</f>
        <v>1900</v>
      </c>
      <c r="W12" s="11"/>
      <c r="X12" s="11"/>
      <c r="Y12" s="11"/>
      <c r="Z12" s="11"/>
      <c r="AA12" s="11"/>
      <c r="AB12" s="11"/>
      <c r="AC12" s="9">
        <f t="shared" si="1"/>
        <v>1900</v>
      </c>
      <c r="AD12" s="6"/>
      <c r="AE12" s="6"/>
      <c r="AF12" s="6"/>
      <c r="AG12" s="6"/>
      <c r="AH12" s="6"/>
      <c r="AI12" s="7">
        <f t="shared" si="0"/>
        <v>1900</v>
      </c>
    </row>
    <row r="13" spans="1:35" x14ac:dyDescent="0.25">
      <c r="A13" s="3" t="s">
        <v>79</v>
      </c>
      <c r="B13" s="3"/>
      <c r="C13" s="6"/>
      <c r="D13" s="6"/>
      <c r="E13" s="6"/>
      <c r="F13" s="7">
        <f>418.19</f>
        <v>418.19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11"/>
      <c r="V13" s="11"/>
      <c r="W13" s="11"/>
      <c r="X13" s="11"/>
      <c r="Y13" s="11"/>
      <c r="Z13" s="11"/>
      <c r="AA13" s="11"/>
      <c r="AB13" s="11"/>
      <c r="AC13" s="9">
        <f t="shared" si="1"/>
        <v>0</v>
      </c>
      <c r="AD13" s="6"/>
      <c r="AE13" s="6"/>
      <c r="AF13" s="6"/>
      <c r="AG13" s="6"/>
      <c r="AH13" s="6"/>
      <c r="AI13" s="7">
        <f t="shared" si="0"/>
        <v>418.19</v>
      </c>
    </row>
    <row r="14" spans="1:35" x14ac:dyDescent="0.25">
      <c r="A14" s="3" t="s">
        <v>80</v>
      </c>
      <c r="B14" s="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11"/>
      <c r="V14" s="9">
        <f>49434.22</f>
        <v>49434.22</v>
      </c>
      <c r="W14" s="11"/>
      <c r="X14" s="11"/>
      <c r="Y14" s="11"/>
      <c r="Z14" s="11"/>
      <c r="AA14" s="11"/>
      <c r="AB14" s="11"/>
      <c r="AC14" s="9">
        <f t="shared" si="1"/>
        <v>49434.22</v>
      </c>
      <c r="AD14" s="6"/>
      <c r="AE14" s="6"/>
      <c r="AF14" s="6"/>
      <c r="AG14" s="6"/>
      <c r="AH14" s="6"/>
      <c r="AI14" s="7">
        <f t="shared" si="0"/>
        <v>49434.22</v>
      </c>
    </row>
    <row r="15" spans="1:35" x14ac:dyDescent="0.25">
      <c r="A15" s="3" t="s">
        <v>81</v>
      </c>
      <c r="B15" s="3"/>
      <c r="C15" s="6"/>
      <c r="D15" s="6"/>
      <c r="E15" s="6"/>
      <c r="F15" s="6"/>
      <c r="G15" s="6"/>
      <c r="H15" s="6"/>
      <c r="I15" s="7">
        <f>144.06</f>
        <v>144.06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11"/>
      <c r="V15" s="11"/>
      <c r="W15" s="11"/>
      <c r="X15" s="11"/>
      <c r="Y15" s="11"/>
      <c r="Z15" s="11"/>
      <c r="AA15" s="11"/>
      <c r="AB15" s="11"/>
      <c r="AC15" s="9">
        <f t="shared" si="1"/>
        <v>0</v>
      </c>
      <c r="AD15" s="6"/>
      <c r="AE15" s="6"/>
      <c r="AF15" s="6"/>
      <c r="AG15" s="6"/>
      <c r="AH15" s="6"/>
      <c r="AI15" s="7">
        <f t="shared" si="0"/>
        <v>144.06</v>
      </c>
    </row>
    <row r="16" spans="1:35" x14ac:dyDescent="0.25">
      <c r="A16" s="3" t="s">
        <v>21</v>
      </c>
      <c r="B16" s="3"/>
      <c r="C16" s="6"/>
      <c r="D16" s="7">
        <f>550</f>
        <v>550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1"/>
      <c r="V16" s="11"/>
      <c r="W16" s="11"/>
      <c r="X16" s="11"/>
      <c r="Y16" s="11"/>
      <c r="Z16" s="11"/>
      <c r="AA16" s="11"/>
      <c r="AB16" s="11"/>
      <c r="AC16" s="9">
        <f t="shared" si="1"/>
        <v>0</v>
      </c>
      <c r="AD16" s="6"/>
      <c r="AE16" s="6"/>
      <c r="AF16" s="6"/>
      <c r="AG16" s="6"/>
      <c r="AH16" s="6"/>
      <c r="AI16" s="7">
        <f t="shared" si="0"/>
        <v>550</v>
      </c>
    </row>
    <row r="17" spans="1:35" x14ac:dyDescent="0.25">
      <c r="A17" s="3" t="s">
        <v>22</v>
      </c>
      <c r="B17" s="3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11"/>
      <c r="V17" s="9">
        <f>3787.59</f>
        <v>3787.59</v>
      </c>
      <c r="W17" s="11"/>
      <c r="X17" s="11"/>
      <c r="Y17" s="11"/>
      <c r="Z17" s="11"/>
      <c r="AA17" s="11"/>
      <c r="AB17" s="11"/>
      <c r="AC17" s="9">
        <f t="shared" si="1"/>
        <v>3787.59</v>
      </c>
      <c r="AD17" s="6"/>
      <c r="AE17" s="6"/>
      <c r="AF17" s="6"/>
      <c r="AG17" s="6"/>
      <c r="AH17" s="6"/>
      <c r="AI17" s="7">
        <f t="shared" si="0"/>
        <v>3787.59</v>
      </c>
    </row>
    <row r="18" spans="1:35" x14ac:dyDescent="0.25">
      <c r="A18" s="3" t="s">
        <v>82</v>
      </c>
      <c r="B18" s="3"/>
      <c r="C18" s="6"/>
      <c r="D18" s="7">
        <f>10688</f>
        <v>10688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11"/>
      <c r="V18" s="11"/>
      <c r="W18" s="11"/>
      <c r="X18" s="11"/>
      <c r="Y18" s="11"/>
      <c r="Z18" s="11"/>
      <c r="AA18" s="11"/>
      <c r="AB18" s="11"/>
      <c r="AC18" s="9">
        <f t="shared" si="1"/>
        <v>0</v>
      </c>
      <c r="AD18" s="6"/>
      <c r="AE18" s="6"/>
      <c r="AF18" s="6"/>
      <c r="AG18" s="6"/>
      <c r="AH18" s="6"/>
      <c r="AI18" s="7">
        <f t="shared" si="0"/>
        <v>10688</v>
      </c>
    </row>
    <row r="19" spans="1:35" x14ac:dyDescent="0.25">
      <c r="A19" s="3" t="s">
        <v>83</v>
      </c>
      <c r="B19" s="3"/>
      <c r="C19" s="6"/>
      <c r="D19" s="7">
        <f>6385</f>
        <v>6385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11"/>
      <c r="V19" s="11"/>
      <c r="W19" s="11"/>
      <c r="X19" s="11"/>
      <c r="Y19" s="11"/>
      <c r="Z19" s="11"/>
      <c r="AA19" s="11"/>
      <c r="AB19" s="11"/>
      <c r="AC19" s="9">
        <f t="shared" si="1"/>
        <v>0</v>
      </c>
      <c r="AD19" s="6"/>
      <c r="AE19" s="6"/>
      <c r="AF19" s="6"/>
      <c r="AG19" s="6"/>
      <c r="AH19" s="6"/>
      <c r="AI19" s="7">
        <f t="shared" si="0"/>
        <v>6385</v>
      </c>
    </row>
    <row r="20" spans="1:35" x14ac:dyDescent="0.25">
      <c r="A20" s="3" t="s">
        <v>84</v>
      </c>
      <c r="B20" s="3"/>
      <c r="C20" s="6"/>
      <c r="D20" s="6"/>
      <c r="E20" s="6"/>
      <c r="F20" s="7">
        <f>4786</f>
        <v>4786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11"/>
      <c r="V20" s="11"/>
      <c r="W20" s="11"/>
      <c r="X20" s="11"/>
      <c r="Y20" s="11"/>
      <c r="Z20" s="11"/>
      <c r="AA20" s="11"/>
      <c r="AB20" s="11"/>
      <c r="AC20" s="9">
        <f t="shared" si="1"/>
        <v>0</v>
      </c>
      <c r="AD20" s="6"/>
      <c r="AE20" s="6"/>
      <c r="AF20" s="6"/>
      <c r="AG20" s="6"/>
      <c r="AH20" s="6"/>
      <c r="AI20" s="7">
        <f t="shared" si="0"/>
        <v>4786</v>
      </c>
    </row>
    <row r="21" spans="1:35" x14ac:dyDescent="0.25">
      <c r="A21" s="3" t="s">
        <v>23</v>
      </c>
      <c r="B21" s="3"/>
      <c r="C21" s="7">
        <f>8776</f>
        <v>8776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11"/>
      <c r="V21" s="11"/>
      <c r="W21" s="11"/>
      <c r="X21" s="11"/>
      <c r="Y21" s="11"/>
      <c r="Z21" s="11"/>
      <c r="AA21" s="11"/>
      <c r="AB21" s="11"/>
      <c r="AC21" s="9">
        <f t="shared" si="1"/>
        <v>0</v>
      </c>
      <c r="AD21" s="6"/>
      <c r="AE21" s="6"/>
      <c r="AF21" s="6"/>
      <c r="AG21" s="6"/>
      <c r="AH21" s="6"/>
      <c r="AI21" s="7">
        <f t="shared" si="0"/>
        <v>8776</v>
      </c>
    </row>
    <row r="22" spans="1:35" x14ac:dyDescent="0.25">
      <c r="A22" s="3" t="s">
        <v>24</v>
      </c>
      <c r="B22" s="3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11"/>
      <c r="V22" s="11"/>
      <c r="W22" s="11"/>
      <c r="X22" s="11"/>
      <c r="Y22" s="11"/>
      <c r="Z22" s="11"/>
      <c r="AA22" s="11"/>
      <c r="AB22" s="11"/>
      <c r="AC22" s="9">
        <f t="shared" si="1"/>
        <v>0</v>
      </c>
      <c r="AD22" s="6"/>
      <c r="AE22" s="6"/>
      <c r="AF22" s="6"/>
      <c r="AG22" s="6"/>
      <c r="AH22" s="6"/>
      <c r="AI22" s="7">
        <f t="shared" si="0"/>
        <v>0</v>
      </c>
    </row>
    <row r="23" spans="1:35" x14ac:dyDescent="0.25">
      <c r="A23" s="3" t="s">
        <v>25</v>
      </c>
      <c r="B23" s="3"/>
      <c r="C23" s="6"/>
      <c r="D23" s="7">
        <f>3466</f>
        <v>3466</v>
      </c>
      <c r="E23" s="7">
        <f>608</f>
        <v>608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11"/>
      <c r="V23" s="11"/>
      <c r="W23" s="11"/>
      <c r="X23" s="11"/>
      <c r="Y23" s="11"/>
      <c r="Z23" s="11"/>
      <c r="AA23" s="11"/>
      <c r="AB23" s="11"/>
      <c r="AC23" s="9">
        <f t="shared" si="1"/>
        <v>0</v>
      </c>
      <c r="AD23" s="6"/>
      <c r="AE23" s="6"/>
      <c r="AF23" s="6"/>
      <c r="AG23" s="6"/>
      <c r="AH23" s="6"/>
      <c r="AI23" s="7">
        <f t="shared" si="0"/>
        <v>4074</v>
      </c>
    </row>
    <row r="24" spans="1:35" x14ac:dyDescent="0.25">
      <c r="A24" s="3" t="s">
        <v>85</v>
      </c>
      <c r="B24" s="3"/>
      <c r="C24" s="6"/>
      <c r="D24" s="6"/>
      <c r="E24" s="6"/>
      <c r="F24" s="6"/>
      <c r="G24" s="6"/>
      <c r="H24" s="6"/>
      <c r="I24" s="7">
        <f>2760</f>
        <v>2760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11"/>
      <c r="V24" s="11"/>
      <c r="W24" s="11"/>
      <c r="X24" s="11"/>
      <c r="Y24" s="11"/>
      <c r="Z24" s="11"/>
      <c r="AA24" s="11"/>
      <c r="AB24" s="11"/>
      <c r="AC24" s="9">
        <f t="shared" si="1"/>
        <v>0</v>
      </c>
      <c r="AD24" s="6"/>
      <c r="AE24" s="6"/>
      <c r="AF24" s="6"/>
      <c r="AG24" s="6"/>
      <c r="AH24" s="6"/>
      <c r="AI24" s="7">
        <f t="shared" si="0"/>
        <v>2760</v>
      </c>
    </row>
    <row r="25" spans="1:35" x14ac:dyDescent="0.25">
      <c r="A25" s="3" t="s">
        <v>26</v>
      </c>
      <c r="B25" s="3"/>
      <c r="C25" s="8">
        <f t="shared" ref="C25:AB25" si="3">((C22)+(C23))+(C24)</f>
        <v>0</v>
      </c>
      <c r="D25" s="8">
        <f t="shared" si="3"/>
        <v>3466</v>
      </c>
      <c r="E25" s="8">
        <f t="shared" si="3"/>
        <v>608</v>
      </c>
      <c r="F25" s="8">
        <f t="shared" si="3"/>
        <v>0</v>
      </c>
      <c r="G25" s="8">
        <f t="shared" si="3"/>
        <v>0</v>
      </c>
      <c r="H25" s="8">
        <f t="shared" si="3"/>
        <v>0</v>
      </c>
      <c r="I25" s="8">
        <f t="shared" si="3"/>
        <v>2760</v>
      </c>
      <c r="J25" s="8">
        <f t="shared" si="3"/>
        <v>0</v>
      </c>
      <c r="K25" s="8">
        <f t="shared" si="3"/>
        <v>0</v>
      </c>
      <c r="L25" s="8">
        <f t="shared" si="3"/>
        <v>0</v>
      </c>
      <c r="M25" s="8">
        <f t="shared" si="3"/>
        <v>0</v>
      </c>
      <c r="N25" s="8">
        <f t="shared" si="3"/>
        <v>0</v>
      </c>
      <c r="O25" s="8">
        <f t="shared" si="3"/>
        <v>0</v>
      </c>
      <c r="P25" s="8">
        <f t="shared" si="3"/>
        <v>0</v>
      </c>
      <c r="Q25" s="8">
        <f t="shared" si="3"/>
        <v>0</v>
      </c>
      <c r="R25" s="8">
        <f t="shared" si="3"/>
        <v>0</v>
      </c>
      <c r="S25" s="8">
        <f t="shared" si="3"/>
        <v>0</v>
      </c>
      <c r="T25" s="8">
        <f t="shared" si="3"/>
        <v>0</v>
      </c>
      <c r="U25" s="12">
        <f t="shared" si="3"/>
        <v>0</v>
      </c>
      <c r="V25" s="12">
        <f t="shared" si="3"/>
        <v>0</v>
      </c>
      <c r="W25" s="12">
        <f t="shared" si="3"/>
        <v>0</v>
      </c>
      <c r="X25" s="12">
        <f t="shared" si="3"/>
        <v>0</v>
      </c>
      <c r="Y25" s="12">
        <f t="shared" si="3"/>
        <v>0</v>
      </c>
      <c r="Z25" s="12">
        <f t="shared" si="3"/>
        <v>0</v>
      </c>
      <c r="AA25" s="12">
        <f t="shared" si="3"/>
        <v>0</v>
      </c>
      <c r="AB25" s="12">
        <f t="shared" si="3"/>
        <v>0</v>
      </c>
      <c r="AC25" s="12">
        <f t="shared" si="1"/>
        <v>0</v>
      </c>
      <c r="AD25" s="8">
        <f>((AD22)+(AD23))+(AD24)</f>
        <v>0</v>
      </c>
      <c r="AE25" s="8">
        <f>((AE22)+(AE23))+(AE24)</f>
        <v>0</v>
      </c>
      <c r="AF25" s="8">
        <f>((AF22)+(AF23))+(AF24)</f>
        <v>0</v>
      </c>
      <c r="AG25" s="8">
        <f>((AG22)+(AG23))+(AG24)</f>
        <v>0</v>
      </c>
      <c r="AH25" s="8"/>
      <c r="AI25" s="8">
        <f t="shared" si="0"/>
        <v>6834</v>
      </c>
    </row>
    <row r="26" spans="1:35" x14ac:dyDescent="0.25">
      <c r="A26" s="3" t="s">
        <v>86</v>
      </c>
      <c r="B26" s="3"/>
      <c r="C26" s="6"/>
      <c r="D26" s="7">
        <f>9468.8</f>
        <v>9468.7999999999993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7">
        <f>16369.1</f>
        <v>16369.1</v>
      </c>
      <c r="P26" s="7">
        <f>3096</f>
        <v>3096</v>
      </c>
      <c r="Q26" s="6"/>
      <c r="R26" s="6"/>
      <c r="S26" s="6"/>
      <c r="T26" s="6"/>
      <c r="U26" s="11"/>
      <c r="V26" s="9">
        <f>-3096</f>
        <v>-3096</v>
      </c>
      <c r="W26" s="11"/>
      <c r="X26" s="11"/>
      <c r="Y26" s="11"/>
      <c r="Z26" s="11"/>
      <c r="AA26" s="11"/>
      <c r="AB26" s="11"/>
      <c r="AC26" s="9">
        <f t="shared" si="1"/>
        <v>-3096</v>
      </c>
      <c r="AD26" s="7">
        <f>1315.92</f>
        <v>1315.92</v>
      </c>
      <c r="AE26" s="6"/>
      <c r="AF26" s="6"/>
      <c r="AG26" s="6"/>
      <c r="AH26" s="6"/>
      <c r="AI26" s="7">
        <f t="shared" si="0"/>
        <v>27153.82</v>
      </c>
    </row>
    <row r="27" spans="1:35" x14ac:dyDescent="0.25">
      <c r="A27" s="3" t="s">
        <v>87</v>
      </c>
      <c r="B27" s="3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11"/>
      <c r="V27" s="9">
        <f>1490</f>
        <v>1490</v>
      </c>
      <c r="W27" s="11"/>
      <c r="X27" s="11"/>
      <c r="Y27" s="11"/>
      <c r="Z27" s="11"/>
      <c r="AA27" s="11"/>
      <c r="AB27" s="11"/>
      <c r="AC27" s="9">
        <f t="shared" si="1"/>
        <v>1490</v>
      </c>
      <c r="AD27" s="6"/>
      <c r="AE27" s="6"/>
      <c r="AF27" s="6"/>
      <c r="AG27" s="6"/>
      <c r="AH27" s="6"/>
      <c r="AI27" s="7">
        <f t="shared" si="0"/>
        <v>1490</v>
      </c>
    </row>
    <row r="28" spans="1:35" x14ac:dyDescent="0.25">
      <c r="A28" s="3" t="s">
        <v>27</v>
      </c>
      <c r="B28" s="3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>
        <f>6996</f>
        <v>6996</v>
      </c>
      <c r="O28" s="6"/>
      <c r="P28" s="6"/>
      <c r="Q28" s="6"/>
      <c r="R28" s="6"/>
      <c r="S28" s="6"/>
      <c r="T28" s="6"/>
      <c r="U28" s="11"/>
      <c r="V28" s="11"/>
      <c r="W28" s="11"/>
      <c r="X28" s="11"/>
      <c r="Y28" s="11"/>
      <c r="Z28" s="11"/>
      <c r="AA28" s="11"/>
      <c r="AB28" s="11"/>
      <c r="AC28" s="9">
        <f t="shared" si="1"/>
        <v>0</v>
      </c>
      <c r="AD28" s="6"/>
      <c r="AE28" s="6"/>
      <c r="AF28" s="6"/>
      <c r="AG28" s="6"/>
      <c r="AH28" s="6"/>
      <c r="AI28" s="7">
        <f t="shared" si="0"/>
        <v>6996</v>
      </c>
    </row>
    <row r="29" spans="1:35" x14ac:dyDescent="0.25">
      <c r="A29" s="3" t="s">
        <v>88</v>
      </c>
      <c r="B29" s="3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11"/>
      <c r="V29" s="11"/>
      <c r="W29" s="11"/>
      <c r="X29" s="11"/>
      <c r="Y29" s="11"/>
      <c r="Z29" s="11"/>
      <c r="AA29" s="11"/>
      <c r="AB29" s="11"/>
      <c r="AC29" s="9">
        <f t="shared" si="1"/>
        <v>0</v>
      </c>
      <c r="AD29" s="6"/>
      <c r="AE29" s="6"/>
      <c r="AF29" s="6"/>
      <c r="AG29" s="7">
        <f>2761.5</f>
        <v>2761.5</v>
      </c>
      <c r="AH29" s="7"/>
      <c r="AI29" s="7">
        <f t="shared" si="0"/>
        <v>2761.5</v>
      </c>
    </row>
    <row r="30" spans="1:35" x14ac:dyDescent="0.25">
      <c r="A30" s="3" t="s">
        <v>28</v>
      </c>
      <c r="B30" s="3"/>
      <c r="C30" s="8">
        <f t="shared" ref="C30:AB30" si="4">((((((((((((((((C10)+(C11))+(C12))+(C13))+(C14))+(C15))+(C16))+(C17))+(C18))+(C19))+(C20))+(C21))+(C25))+(C26))+(C27))+(C28))+(C29)</f>
        <v>8776</v>
      </c>
      <c r="D30" s="8">
        <f t="shared" si="4"/>
        <v>30557.8</v>
      </c>
      <c r="E30" s="8">
        <f t="shared" si="4"/>
        <v>608</v>
      </c>
      <c r="F30" s="8">
        <f t="shared" si="4"/>
        <v>11304.189999999999</v>
      </c>
      <c r="G30" s="8">
        <f t="shared" si="4"/>
        <v>0</v>
      </c>
      <c r="H30" s="8">
        <f t="shared" si="4"/>
        <v>0</v>
      </c>
      <c r="I30" s="8">
        <f t="shared" si="4"/>
        <v>2904.06</v>
      </c>
      <c r="J30" s="8">
        <f t="shared" si="4"/>
        <v>0</v>
      </c>
      <c r="K30" s="8">
        <f t="shared" si="4"/>
        <v>0</v>
      </c>
      <c r="L30" s="8">
        <f t="shared" si="4"/>
        <v>0</v>
      </c>
      <c r="M30" s="8">
        <f t="shared" si="4"/>
        <v>0</v>
      </c>
      <c r="N30" s="8">
        <f t="shared" si="4"/>
        <v>6996</v>
      </c>
      <c r="O30" s="8">
        <f t="shared" si="4"/>
        <v>16369.1</v>
      </c>
      <c r="P30" s="8">
        <f t="shared" si="4"/>
        <v>3096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8">
        <f t="shared" si="4"/>
        <v>0</v>
      </c>
      <c r="U30" s="12">
        <f t="shared" si="4"/>
        <v>0</v>
      </c>
      <c r="V30" s="12">
        <f t="shared" si="4"/>
        <v>53999.55</v>
      </c>
      <c r="W30" s="12">
        <f t="shared" si="4"/>
        <v>0</v>
      </c>
      <c r="X30" s="12">
        <f t="shared" si="4"/>
        <v>0</v>
      </c>
      <c r="Y30" s="12">
        <f t="shared" si="4"/>
        <v>0</v>
      </c>
      <c r="Z30" s="12">
        <f t="shared" si="4"/>
        <v>0</v>
      </c>
      <c r="AA30" s="12">
        <f t="shared" si="4"/>
        <v>0</v>
      </c>
      <c r="AB30" s="12">
        <f t="shared" si="4"/>
        <v>0</v>
      </c>
      <c r="AC30" s="12">
        <f t="shared" si="1"/>
        <v>53999.55</v>
      </c>
      <c r="AD30" s="8">
        <f>((((((((((((((((AD10)+(AD11))+(AD12))+(AD13))+(AD14))+(AD15))+(AD16))+(AD17))+(AD18))+(AD19))+(AD20))+(AD21))+(AD25))+(AD26))+(AD27))+(AD28))+(AD29)</f>
        <v>1315.92</v>
      </c>
      <c r="AE30" s="8">
        <f>((((((((((((((((AE10)+(AE11))+(AE12))+(AE13))+(AE14))+(AE15))+(AE16))+(AE17))+(AE18))+(AE19))+(AE20))+(AE21))+(AE25))+(AE26))+(AE27))+(AE28))+(AE29)</f>
        <v>0</v>
      </c>
      <c r="AF30" s="8">
        <f>((((((((((((((((AF10)+(AF11))+(AF12))+(AF13))+(AF14))+(AF15))+(AF16))+(AF17))+(AF18))+(AF19))+(AF20))+(AF21))+(AF25))+(AF26))+(AF27))+(AF28))+(AF29)</f>
        <v>0</v>
      </c>
      <c r="AG30" s="8">
        <f>((((((((((((((((AG10)+(AG11))+(AG12))+(AG13))+(AG14))+(AG15))+(AG16))+(AG17))+(AG18))+(AG19))+(AG20))+(AG21))+(AG25))+(AG26))+(AG27))+(AG28))+(AG29)</f>
        <v>2761.5</v>
      </c>
      <c r="AH30" s="8"/>
      <c r="AI30" s="8">
        <f t="shared" si="0"/>
        <v>138688.12000000002</v>
      </c>
    </row>
    <row r="31" spans="1:35" x14ac:dyDescent="0.25">
      <c r="A31" s="3" t="s">
        <v>29</v>
      </c>
      <c r="B31" s="3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11"/>
      <c r="V31" s="9">
        <f>48275</f>
        <v>48275</v>
      </c>
      <c r="W31" s="11"/>
      <c r="X31" s="11"/>
      <c r="Y31" s="11"/>
      <c r="Z31" s="11"/>
      <c r="AA31" s="11"/>
      <c r="AB31" s="11"/>
      <c r="AC31" s="9">
        <f t="shared" si="1"/>
        <v>48275</v>
      </c>
      <c r="AD31" s="6"/>
      <c r="AE31" s="6"/>
      <c r="AF31" s="6"/>
      <c r="AG31" s="6"/>
      <c r="AH31" s="6"/>
      <c r="AI31" s="7">
        <f t="shared" si="0"/>
        <v>48275</v>
      </c>
    </row>
    <row r="32" spans="1:35" x14ac:dyDescent="0.25">
      <c r="A32" s="3" t="s">
        <v>30</v>
      </c>
      <c r="B32" s="3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1"/>
      <c r="V32" s="9">
        <f>320</f>
        <v>320</v>
      </c>
      <c r="W32" s="11"/>
      <c r="X32" s="11"/>
      <c r="Y32" s="11"/>
      <c r="Z32" s="11"/>
      <c r="AA32" s="11"/>
      <c r="AB32" s="11"/>
      <c r="AC32" s="9">
        <f t="shared" si="1"/>
        <v>320</v>
      </c>
      <c r="AD32" s="6"/>
      <c r="AE32" s="6"/>
      <c r="AF32" s="6"/>
      <c r="AG32" s="6"/>
      <c r="AH32" s="6"/>
      <c r="AI32" s="7">
        <f t="shared" si="0"/>
        <v>320</v>
      </c>
    </row>
    <row r="33" spans="1:35" x14ac:dyDescent="0.25">
      <c r="A33" s="3" t="s">
        <v>89</v>
      </c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11"/>
      <c r="V33" s="9">
        <f>1500</f>
        <v>1500</v>
      </c>
      <c r="W33" s="11"/>
      <c r="X33" s="11"/>
      <c r="Y33" s="11"/>
      <c r="Z33" s="11"/>
      <c r="AA33" s="11"/>
      <c r="AB33" s="11"/>
      <c r="AC33" s="9">
        <f t="shared" si="1"/>
        <v>1500</v>
      </c>
      <c r="AD33" s="6"/>
      <c r="AE33" s="6"/>
      <c r="AF33" s="6"/>
      <c r="AG33" s="6"/>
      <c r="AH33" s="6"/>
      <c r="AI33" s="7">
        <f t="shared" si="0"/>
        <v>1500</v>
      </c>
    </row>
    <row r="34" spans="1:35" x14ac:dyDescent="0.25">
      <c r="A34" s="3" t="s">
        <v>31</v>
      </c>
      <c r="B34" s="3"/>
      <c r="C34" s="8">
        <f t="shared" ref="C34:AB34" si="5">((((C9)+(C30))+(C31))+(C32))+(C33)</f>
        <v>8876</v>
      </c>
      <c r="D34" s="8">
        <f t="shared" si="5"/>
        <v>30907.8</v>
      </c>
      <c r="E34" s="8">
        <f t="shared" si="5"/>
        <v>6784.92</v>
      </c>
      <c r="F34" s="8">
        <f t="shared" si="5"/>
        <v>13879.189999999999</v>
      </c>
      <c r="G34" s="8">
        <f t="shared" si="5"/>
        <v>1500</v>
      </c>
      <c r="H34" s="8">
        <f t="shared" si="5"/>
        <v>0</v>
      </c>
      <c r="I34" s="8">
        <f t="shared" si="5"/>
        <v>3104.06</v>
      </c>
      <c r="J34" s="8">
        <f t="shared" si="5"/>
        <v>1440.87</v>
      </c>
      <c r="K34" s="8">
        <f t="shared" si="5"/>
        <v>250</v>
      </c>
      <c r="L34" s="8">
        <f t="shared" si="5"/>
        <v>9187.7999999999993</v>
      </c>
      <c r="M34" s="8">
        <f t="shared" si="5"/>
        <v>243.9</v>
      </c>
      <c r="N34" s="8">
        <f t="shared" si="5"/>
        <v>8020.8</v>
      </c>
      <c r="O34" s="8">
        <f t="shared" si="5"/>
        <v>17724.8</v>
      </c>
      <c r="P34" s="8">
        <f t="shared" si="5"/>
        <v>3168.52</v>
      </c>
      <c r="Q34" s="8">
        <f t="shared" si="5"/>
        <v>245</v>
      </c>
      <c r="R34" s="8">
        <f t="shared" si="5"/>
        <v>40</v>
      </c>
      <c r="S34" s="8">
        <f t="shared" si="5"/>
        <v>840</v>
      </c>
      <c r="T34" s="8">
        <f t="shared" si="5"/>
        <v>243.6</v>
      </c>
      <c r="U34" s="12">
        <f t="shared" si="5"/>
        <v>0</v>
      </c>
      <c r="V34" s="12">
        <f t="shared" si="5"/>
        <v>110428.43</v>
      </c>
      <c r="W34" s="12">
        <f t="shared" si="5"/>
        <v>0</v>
      </c>
      <c r="X34" s="12">
        <f t="shared" si="5"/>
        <v>0</v>
      </c>
      <c r="Y34" s="12">
        <f t="shared" si="5"/>
        <v>0</v>
      </c>
      <c r="Z34" s="12">
        <f t="shared" si="5"/>
        <v>0</v>
      </c>
      <c r="AA34" s="12">
        <f t="shared" si="5"/>
        <v>0</v>
      </c>
      <c r="AB34" s="12">
        <f t="shared" si="5"/>
        <v>0</v>
      </c>
      <c r="AC34" s="12">
        <f t="shared" si="1"/>
        <v>110428.43</v>
      </c>
      <c r="AD34" s="8">
        <f>((((AD9)+(AD30))+(AD31))+(AD32))+(AD33)</f>
        <v>1845.92</v>
      </c>
      <c r="AE34" s="8">
        <f>((((AE9)+(AE30))+(AE31))+(AE32))+(AE33)</f>
        <v>250</v>
      </c>
      <c r="AF34" s="8">
        <f>((((AF9)+(AF30))+(AF31))+(AF32))+(AF33)</f>
        <v>130.29</v>
      </c>
      <c r="AG34" s="8">
        <f>((((AG9)+(AG30))+(AG31))+(AG32))+(AG33)</f>
        <v>3071.7799999999997</v>
      </c>
      <c r="AH34" s="8"/>
      <c r="AI34" s="8">
        <f t="shared" si="0"/>
        <v>222183.68000000002</v>
      </c>
    </row>
    <row r="35" spans="1:35" x14ac:dyDescent="0.25">
      <c r="A35" s="3" t="s">
        <v>32</v>
      </c>
      <c r="B35" s="3"/>
      <c r="C35" s="8">
        <f t="shared" ref="C35:AB35" si="6">(C34)-(0)</f>
        <v>8876</v>
      </c>
      <c r="D35" s="8">
        <f t="shared" si="6"/>
        <v>30907.8</v>
      </c>
      <c r="E35" s="8">
        <f t="shared" si="6"/>
        <v>6784.92</v>
      </c>
      <c r="F35" s="8">
        <f t="shared" si="6"/>
        <v>13879.189999999999</v>
      </c>
      <c r="G35" s="8">
        <f t="shared" si="6"/>
        <v>1500</v>
      </c>
      <c r="H35" s="8">
        <f t="shared" si="6"/>
        <v>0</v>
      </c>
      <c r="I35" s="8">
        <f t="shared" si="6"/>
        <v>3104.06</v>
      </c>
      <c r="J35" s="8">
        <f t="shared" si="6"/>
        <v>1440.87</v>
      </c>
      <c r="K35" s="8">
        <f t="shared" si="6"/>
        <v>250</v>
      </c>
      <c r="L35" s="8">
        <f t="shared" si="6"/>
        <v>9187.7999999999993</v>
      </c>
      <c r="M35" s="8">
        <f t="shared" si="6"/>
        <v>243.9</v>
      </c>
      <c r="N35" s="8">
        <f t="shared" si="6"/>
        <v>8020.8</v>
      </c>
      <c r="O35" s="8">
        <f t="shared" si="6"/>
        <v>17724.8</v>
      </c>
      <c r="P35" s="8">
        <f t="shared" si="6"/>
        <v>3168.52</v>
      </c>
      <c r="Q35" s="8">
        <f t="shared" si="6"/>
        <v>245</v>
      </c>
      <c r="R35" s="8">
        <f t="shared" si="6"/>
        <v>40</v>
      </c>
      <c r="S35" s="8">
        <f t="shared" si="6"/>
        <v>840</v>
      </c>
      <c r="T35" s="8">
        <f t="shared" si="6"/>
        <v>243.6</v>
      </c>
      <c r="U35" s="12">
        <f t="shared" si="6"/>
        <v>0</v>
      </c>
      <c r="V35" s="12">
        <f t="shared" si="6"/>
        <v>110428.43</v>
      </c>
      <c r="W35" s="12">
        <f t="shared" si="6"/>
        <v>0</v>
      </c>
      <c r="X35" s="12">
        <f t="shared" si="6"/>
        <v>0</v>
      </c>
      <c r="Y35" s="12">
        <f t="shared" si="6"/>
        <v>0</v>
      </c>
      <c r="Z35" s="12">
        <f t="shared" si="6"/>
        <v>0</v>
      </c>
      <c r="AA35" s="12">
        <f t="shared" si="6"/>
        <v>0</v>
      </c>
      <c r="AB35" s="12">
        <f t="shared" si="6"/>
        <v>0</v>
      </c>
      <c r="AC35" s="12">
        <f t="shared" si="1"/>
        <v>110428.43</v>
      </c>
      <c r="AD35" s="8">
        <f>(AD34)-(0)</f>
        <v>1845.92</v>
      </c>
      <c r="AE35" s="8">
        <f>(AE34)-(0)</f>
        <v>250</v>
      </c>
      <c r="AF35" s="8">
        <f>(AF34)-(0)</f>
        <v>130.29</v>
      </c>
      <c r="AG35" s="8">
        <f>(AG34)-(0)</f>
        <v>3071.7799999999997</v>
      </c>
      <c r="AH35" s="8"/>
      <c r="AI35" s="8">
        <f t="shared" si="0"/>
        <v>222183.68000000002</v>
      </c>
    </row>
    <row r="36" spans="1:35" x14ac:dyDescent="0.25">
      <c r="A36" s="3" t="s">
        <v>33</v>
      </c>
      <c r="B36" s="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11"/>
      <c r="V36" s="11"/>
      <c r="W36" s="11"/>
      <c r="X36" s="11"/>
      <c r="Y36" s="11"/>
      <c r="Z36" s="11"/>
      <c r="AA36" s="11"/>
      <c r="AB36" s="11"/>
      <c r="AC36" s="11"/>
      <c r="AD36" s="6"/>
      <c r="AE36" s="6"/>
      <c r="AF36" s="6"/>
      <c r="AG36" s="6"/>
      <c r="AH36" s="6"/>
      <c r="AI36" s="6"/>
    </row>
    <row r="37" spans="1:35" x14ac:dyDescent="0.25">
      <c r="A37" s="3" t="s">
        <v>34</v>
      </c>
      <c r="B37" s="3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11"/>
      <c r="V37" s="9">
        <f>446.19</f>
        <v>446.19</v>
      </c>
      <c r="W37" s="11"/>
      <c r="X37" s="11"/>
      <c r="Y37" s="11"/>
      <c r="Z37" s="11"/>
      <c r="AA37" s="11"/>
      <c r="AB37" s="11"/>
      <c r="AC37" s="9">
        <f t="shared" ref="AC37:AC81" si="7">(((((((U37)+(V37))+(W37))+(X37))+(Y37))+(Z37))+(AA37))+(AB37)</f>
        <v>446.19</v>
      </c>
      <c r="AD37" s="6"/>
      <c r="AE37" s="6"/>
      <c r="AF37" s="6"/>
      <c r="AG37" s="6"/>
      <c r="AH37" s="6"/>
      <c r="AI37" s="7">
        <f t="shared" ref="AI37:AI81" si="8">((((((((((((((((((((((C37)+(D37))+(E37))+(F37))+(G37))+(H37))+(I37))+(J37))+(K37))+(L37))+(M37))+(N37))+(O37))+(P37))+(Q37))+(R37))+(S37))+(T37))+(AC37))+(AD37))+(AE37))+(AF37))+(AG37)</f>
        <v>446.19</v>
      </c>
    </row>
    <row r="38" spans="1:35" x14ac:dyDescent="0.25">
      <c r="A38" s="3" t="s">
        <v>90</v>
      </c>
      <c r="B38" s="3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11"/>
      <c r="V38" s="9">
        <f>984.43</f>
        <v>984.43</v>
      </c>
      <c r="W38" s="11"/>
      <c r="X38" s="11"/>
      <c r="Y38" s="11"/>
      <c r="Z38" s="11"/>
      <c r="AA38" s="11"/>
      <c r="AB38" s="11"/>
      <c r="AC38" s="9">
        <f t="shared" si="7"/>
        <v>984.43</v>
      </c>
      <c r="AD38" s="6"/>
      <c r="AE38" s="6"/>
      <c r="AF38" s="6"/>
      <c r="AG38" s="6"/>
      <c r="AH38" s="6"/>
      <c r="AI38" s="7">
        <f t="shared" si="8"/>
        <v>984.43</v>
      </c>
    </row>
    <row r="39" spans="1:35" x14ac:dyDescent="0.25">
      <c r="A39" s="3" t="s">
        <v>91</v>
      </c>
      <c r="B39" s="3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11"/>
      <c r="V39" s="9">
        <f>2765.74</f>
        <v>2765.74</v>
      </c>
      <c r="W39" s="11"/>
      <c r="X39" s="11"/>
      <c r="Y39" s="11"/>
      <c r="Z39" s="11"/>
      <c r="AA39" s="11"/>
      <c r="AB39" s="11"/>
      <c r="AC39" s="9">
        <f t="shared" si="7"/>
        <v>2765.74</v>
      </c>
      <c r="AD39" s="6"/>
      <c r="AE39" s="6"/>
      <c r="AF39" s="6"/>
      <c r="AG39" s="6"/>
      <c r="AH39" s="6"/>
      <c r="AI39" s="7">
        <f t="shared" si="8"/>
        <v>2765.74</v>
      </c>
    </row>
    <row r="40" spans="1:35" x14ac:dyDescent="0.25">
      <c r="A40" s="3" t="s">
        <v>35</v>
      </c>
      <c r="B40" s="3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11"/>
      <c r="V40" s="9">
        <f>174.75</f>
        <v>174.75</v>
      </c>
      <c r="W40" s="11"/>
      <c r="X40" s="11"/>
      <c r="Y40" s="11"/>
      <c r="Z40" s="11"/>
      <c r="AA40" s="11"/>
      <c r="AB40" s="11"/>
      <c r="AC40" s="9">
        <f t="shared" si="7"/>
        <v>174.75</v>
      </c>
      <c r="AD40" s="6"/>
      <c r="AE40" s="6"/>
      <c r="AF40" s="6"/>
      <c r="AG40" s="6"/>
      <c r="AH40" s="6"/>
      <c r="AI40" s="7">
        <f t="shared" si="8"/>
        <v>174.75</v>
      </c>
    </row>
    <row r="41" spans="1:35" x14ac:dyDescent="0.25">
      <c r="A41" s="3" t="s">
        <v>92</v>
      </c>
      <c r="B41" s="3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11"/>
      <c r="V41" s="9">
        <f>1260.77</f>
        <v>1260.77</v>
      </c>
      <c r="W41" s="11"/>
      <c r="X41" s="11"/>
      <c r="Y41" s="11"/>
      <c r="Z41" s="11"/>
      <c r="AA41" s="11"/>
      <c r="AB41" s="11"/>
      <c r="AC41" s="9">
        <f t="shared" si="7"/>
        <v>1260.77</v>
      </c>
      <c r="AD41" s="6"/>
      <c r="AE41" s="6"/>
      <c r="AF41" s="6"/>
      <c r="AG41" s="6"/>
      <c r="AH41" s="6"/>
      <c r="AI41" s="7">
        <f t="shared" si="8"/>
        <v>1260.77</v>
      </c>
    </row>
    <row r="42" spans="1:35" x14ac:dyDescent="0.25">
      <c r="A42" s="3" t="s">
        <v>36</v>
      </c>
      <c r="B42" s="3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7">
        <f>694</f>
        <v>694</v>
      </c>
      <c r="R42" s="6"/>
      <c r="S42" s="6"/>
      <c r="T42" s="6"/>
      <c r="U42" s="11"/>
      <c r="V42" s="9">
        <f>755</f>
        <v>755</v>
      </c>
      <c r="W42" s="11"/>
      <c r="X42" s="11"/>
      <c r="Y42" s="11"/>
      <c r="Z42" s="11"/>
      <c r="AA42" s="11"/>
      <c r="AB42" s="11"/>
      <c r="AC42" s="9">
        <f t="shared" si="7"/>
        <v>755</v>
      </c>
      <c r="AD42" s="6"/>
      <c r="AE42" s="6"/>
      <c r="AF42" s="6"/>
      <c r="AG42" s="6"/>
      <c r="AH42" s="6"/>
      <c r="AI42" s="7">
        <f t="shared" si="8"/>
        <v>1449</v>
      </c>
    </row>
    <row r="43" spans="1:35" x14ac:dyDescent="0.25">
      <c r="A43" s="3" t="s">
        <v>93</v>
      </c>
      <c r="B43" s="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11"/>
      <c r="V43" s="9">
        <f>1321.17</f>
        <v>1321.17</v>
      </c>
      <c r="W43" s="11"/>
      <c r="X43" s="11"/>
      <c r="Y43" s="11"/>
      <c r="Z43" s="11"/>
      <c r="AA43" s="11"/>
      <c r="AB43" s="11"/>
      <c r="AC43" s="9">
        <f t="shared" si="7"/>
        <v>1321.17</v>
      </c>
      <c r="AD43" s="6"/>
      <c r="AE43" s="6"/>
      <c r="AF43" s="6"/>
      <c r="AG43" s="6"/>
      <c r="AH43" s="6"/>
      <c r="AI43" s="7">
        <f t="shared" si="8"/>
        <v>1321.17</v>
      </c>
    </row>
    <row r="44" spans="1:35" x14ac:dyDescent="0.25">
      <c r="A44" s="3" t="s">
        <v>37</v>
      </c>
      <c r="B44" s="3"/>
      <c r="C44" s="8">
        <f t="shared" ref="C44:AB44" si="9">((((((C37)+(C38))+(C39))+(C40))+(C41))+(C42))+(C43)</f>
        <v>0</v>
      </c>
      <c r="D44" s="8">
        <f t="shared" si="9"/>
        <v>0</v>
      </c>
      <c r="E44" s="8">
        <f t="shared" si="9"/>
        <v>0</v>
      </c>
      <c r="F44" s="8">
        <f t="shared" si="9"/>
        <v>0</v>
      </c>
      <c r="G44" s="8">
        <f t="shared" si="9"/>
        <v>0</v>
      </c>
      <c r="H44" s="8">
        <f t="shared" si="9"/>
        <v>0</v>
      </c>
      <c r="I44" s="8">
        <f t="shared" si="9"/>
        <v>0</v>
      </c>
      <c r="J44" s="8">
        <f t="shared" si="9"/>
        <v>0</v>
      </c>
      <c r="K44" s="8">
        <f t="shared" si="9"/>
        <v>0</v>
      </c>
      <c r="L44" s="8">
        <f t="shared" si="9"/>
        <v>0</v>
      </c>
      <c r="M44" s="8">
        <f t="shared" si="9"/>
        <v>0</v>
      </c>
      <c r="N44" s="8">
        <f t="shared" si="9"/>
        <v>0</v>
      </c>
      <c r="O44" s="8">
        <f t="shared" si="9"/>
        <v>0</v>
      </c>
      <c r="P44" s="8">
        <f t="shared" si="9"/>
        <v>0</v>
      </c>
      <c r="Q44" s="8">
        <f t="shared" si="9"/>
        <v>694</v>
      </c>
      <c r="R44" s="8">
        <f t="shared" si="9"/>
        <v>0</v>
      </c>
      <c r="S44" s="8">
        <f t="shared" si="9"/>
        <v>0</v>
      </c>
      <c r="T44" s="8">
        <f t="shared" si="9"/>
        <v>0</v>
      </c>
      <c r="U44" s="12">
        <f t="shared" si="9"/>
        <v>0</v>
      </c>
      <c r="V44" s="12">
        <f t="shared" si="9"/>
        <v>7708.0499999999993</v>
      </c>
      <c r="W44" s="12">
        <f t="shared" si="9"/>
        <v>0</v>
      </c>
      <c r="X44" s="12">
        <f t="shared" si="9"/>
        <v>0</v>
      </c>
      <c r="Y44" s="12">
        <f t="shared" si="9"/>
        <v>0</v>
      </c>
      <c r="Z44" s="12">
        <f t="shared" si="9"/>
        <v>0</v>
      </c>
      <c r="AA44" s="12">
        <f t="shared" si="9"/>
        <v>0</v>
      </c>
      <c r="AB44" s="12">
        <f t="shared" si="9"/>
        <v>0</v>
      </c>
      <c r="AC44" s="12">
        <f t="shared" si="7"/>
        <v>7708.0499999999993</v>
      </c>
      <c r="AD44" s="8">
        <f>((((((AD37)+(AD38))+(AD39))+(AD40))+(AD41))+(AD42))+(AD43)</f>
        <v>0</v>
      </c>
      <c r="AE44" s="8">
        <f>((((((AE37)+(AE38))+(AE39))+(AE40))+(AE41))+(AE42))+(AE43)</f>
        <v>0</v>
      </c>
      <c r="AF44" s="8">
        <f>((((((AF37)+(AF38))+(AF39))+(AF40))+(AF41))+(AF42))+(AF43)</f>
        <v>0</v>
      </c>
      <c r="AG44" s="8">
        <f>((((((AG37)+(AG38))+(AG39))+(AG40))+(AG41))+(AG42))+(AG43)</f>
        <v>0</v>
      </c>
      <c r="AH44" s="8"/>
      <c r="AI44" s="8">
        <f t="shared" si="8"/>
        <v>8402.0499999999993</v>
      </c>
    </row>
    <row r="45" spans="1:35" x14ac:dyDescent="0.25">
      <c r="A45" s="3" t="s">
        <v>38</v>
      </c>
      <c r="B45" s="3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11"/>
      <c r="V45" s="11"/>
      <c r="W45" s="11"/>
      <c r="X45" s="11"/>
      <c r="Y45" s="11"/>
      <c r="Z45" s="11"/>
      <c r="AA45" s="11"/>
      <c r="AB45" s="11"/>
      <c r="AC45" s="9">
        <f t="shared" si="7"/>
        <v>0</v>
      </c>
      <c r="AD45" s="6"/>
      <c r="AE45" s="6"/>
      <c r="AF45" s="6"/>
      <c r="AG45" s="6"/>
      <c r="AH45" s="6"/>
      <c r="AI45" s="7">
        <f t="shared" si="8"/>
        <v>0</v>
      </c>
    </row>
    <row r="46" spans="1:35" x14ac:dyDescent="0.25">
      <c r="A46" s="3" t="s">
        <v>94</v>
      </c>
      <c r="B46" s="3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11"/>
      <c r="V46" s="9">
        <f>350.2</f>
        <v>350.2</v>
      </c>
      <c r="W46" s="11"/>
      <c r="X46" s="11"/>
      <c r="Y46" s="11"/>
      <c r="Z46" s="11"/>
      <c r="AA46" s="11"/>
      <c r="AB46" s="11"/>
      <c r="AC46" s="9">
        <f t="shared" si="7"/>
        <v>350.2</v>
      </c>
      <c r="AD46" s="6"/>
      <c r="AE46" s="6"/>
      <c r="AF46" s="6"/>
      <c r="AG46" s="6"/>
      <c r="AH46" s="6"/>
      <c r="AI46" s="7">
        <f t="shared" si="8"/>
        <v>350.2</v>
      </c>
    </row>
    <row r="47" spans="1:35" x14ac:dyDescent="0.25">
      <c r="A47" s="3" t="s">
        <v>95</v>
      </c>
      <c r="B47" s="3"/>
      <c r="C47" s="6"/>
      <c r="D47" s="6"/>
      <c r="E47" s="6"/>
      <c r="F47" s="7">
        <f>70.42</f>
        <v>70.42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11"/>
      <c r="V47" s="11"/>
      <c r="W47" s="11"/>
      <c r="X47" s="11"/>
      <c r="Y47" s="11"/>
      <c r="Z47" s="11"/>
      <c r="AA47" s="11"/>
      <c r="AB47" s="11"/>
      <c r="AC47" s="9">
        <f t="shared" si="7"/>
        <v>0</v>
      </c>
      <c r="AD47" s="6"/>
      <c r="AE47" s="6"/>
      <c r="AF47" s="6"/>
      <c r="AG47" s="6"/>
      <c r="AH47" s="6"/>
      <c r="AI47" s="7">
        <f t="shared" si="8"/>
        <v>70.42</v>
      </c>
    </row>
    <row r="48" spans="1:35" x14ac:dyDescent="0.25">
      <c r="A48" s="3" t="s">
        <v>96</v>
      </c>
      <c r="B48" s="3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11"/>
      <c r="V48" s="9">
        <f>10153.17</f>
        <v>10153.17</v>
      </c>
      <c r="W48" s="11"/>
      <c r="X48" s="11"/>
      <c r="Y48" s="11"/>
      <c r="Z48" s="11"/>
      <c r="AA48" s="11"/>
      <c r="AB48" s="11"/>
      <c r="AC48" s="9">
        <f t="shared" si="7"/>
        <v>10153.17</v>
      </c>
      <c r="AD48" s="6"/>
      <c r="AE48" s="6"/>
      <c r="AF48" s="6"/>
      <c r="AG48" s="6"/>
      <c r="AH48" s="6"/>
      <c r="AI48" s="7">
        <f t="shared" si="8"/>
        <v>10153.17</v>
      </c>
    </row>
    <row r="49" spans="1:35" x14ac:dyDescent="0.25">
      <c r="A49" s="3" t="s">
        <v>97</v>
      </c>
      <c r="B49" s="3"/>
      <c r="C49" s="6"/>
      <c r="D49" s="6"/>
      <c r="E49" s="6"/>
      <c r="F49" s="6"/>
      <c r="G49" s="6"/>
      <c r="H49" s="6"/>
      <c r="I49" s="7">
        <f>162.31</f>
        <v>162.31</v>
      </c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11"/>
      <c r="V49" s="11"/>
      <c r="W49" s="11"/>
      <c r="X49" s="11"/>
      <c r="Y49" s="11"/>
      <c r="Z49" s="11"/>
      <c r="AA49" s="11"/>
      <c r="AB49" s="11"/>
      <c r="AC49" s="9">
        <f t="shared" si="7"/>
        <v>0</v>
      </c>
      <c r="AD49" s="6"/>
      <c r="AE49" s="6"/>
      <c r="AF49" s="6"/>
      <c r="AG49" s="6"/>
      <c r="AH49" s="6"/>
      <c r="AI49" s="7">
        <f t="shared" si="8"/>
        <v>162.31</v>
      </c>
    </row>
    <row r="50" spans="1:35" x14ac:dyDescent="0.25">
      <c r="A50" s="3" t="s">
        <v>98</v>
      </c>
      <c r="B50" s="3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11"/>
      <c r="V50" s="9">
        <f>2056.96</f>
        <v>2056.96</v>
      </c>
      <c r="W50" s="11"/>
      <c r="X50" s="11"/>
      <c r="Y50" s="11"/>
      <c r="Z50" s="11"/>
      <c r="AA50" s="11"/>
      <c r="AB50" s="11"/>
      <c r="AC50" s="9">
        <f t="shared" si="7"/>
        <v>2056.96</v>
      </c>
      <c r="AD50" s="6"/>
      <c r="AE50" s="6"/>
      <c r="AF50" s="6"/>
      <c r="AG50" s="6"/>
      <c r="AH50" s="6"/>
      <c r="AI50" s="7">
        <f t="shared" si="8"/>
        <v>2056.96</v>
      </c>
    </row>
    <row r="51" spans="1:35" x14ac:dyDescent="0.25">
      <c r="A51" s="3" t="s">
        <v>39</v>
      </c>
      <c r="B51" s="3"/>
      <c r="C51" s="6"/>
      <c r="D51" s="7">
        <f>3672.34</f>
        <v>3672.34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11"/>
      <c r="V51" s="11"/>
      <c r="W51" s="11"/>
      <c r="X51" s="11"/>
      <c r="Y51" s="11"/>
      <c r="Z51" s="11"/>
      <c r="AA51" s="11"/>
      <c r="AB51" s="11"/>
      <c r="AC51" s="9">
        <f t="shared" si="7"/>
        <v>0</v>
      </c>
      <c r="AD51" s="6"/>
      <c r="AE51" s="6"/>
      <c r="AF51" s="6"/>
      <c r="AG51" s="6"/>
      <c r="AH51" s="6"/>
      <c r="AI51" s="7">
        <f t="shared" si="8"/>
        <v>3672.34</v>
      </c>
    </row>
    <row r="52" spans="1:35" x14ac:dyDescent="0.25">
      <c r="A52" s="3" t="s">
        <v>99</v>
      </c>
      <c r="B52" s="3"/>
      <c r="C52" s="6"/>
      <c r="D52" s="7">
        <f>5000</f>
        <v>5000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11"/>
      <c r="V52" s="11"/>
      <c r="W52" s="11"/>
      <c r="X52" s="11"/>
      <c r="Y52" s="11"/>
      <c r="Z52" s="11"/>
      <c r="AA52" s="11"/>
      <c r="AB52" s="11"/>
      <c r="AC52" s="9">
        <f t="shared" si="7"/>
        <v>0</v>
      </c>
      <c r="AD52" s="6"/>
      <c r="AE52" s="6"/>
      <c r="AF52" s="6"/>
      <c r="AG52" s="6"/>
      <c r="AH52" s="6"/>
      <c r="AI52" s="7">
        <f t="shared" si="8"/>
        <v>5000</v>
      </c>
    </row>
    <row r="53" spans="1:35" x14ac:dyDescent="0.25">
      <c r="A53" s="3" t="s">
        <v>40</v>
      </c>
      <c r="B53" s="3"/>
      <c r="C53" s="6"/>
      <c r="D53" s="7">
        <f>-1288</f>
        <v>-1288</v>
      </c>
      <c r="E53" s="6"/>
      <c r="F53" s="6"/>
      <c r="G53" s="6"/>
      <c r="H53" s="6"/>
      <c r="I53" s="7">
        <f>79.98</f>
        <v>79.98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11"/>
      <c r="V53" s="11"/>
      <c r="W53" s="11"/>
      <c r="X53" s="11"/>
      <c r="Y53" s="11"/>
      <c r="Z53" s="11"/>
      <c r="AA53" s="11"/>
      <c r="AB53" s="11"/>
      <c r="AC53" s="9">
        <f t="shared" si="7"/>
        <v>0</v>
      </c>
      <c r="AD53" s="6"/>
      <c r="AE53" s="6"/>
      <c r="AF53" s="6"/>
      <c r="AG53" s="6"/>
      <c r="AH53" s="6"/>
      <c r="AI53" s="7">
        <f t="shared" si="8"/>
        <v>-1208.02</v>
      </c>
    </row>
    <row r="54" spans="1:35" x14ac:dyDescent="0.25">
      <c r="A54" s="3" t="s">
        <v>88</v>
      </c>
      <c r="B54" s="3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11"/>
      <c r="V54" s="11"/>
      <c r="W54" s="11"/>
      <c r="X54" s="11"/>
      <c r="Y54" s="11"/>
      <c r="Z54" s="11"/>
      <c r="AA54" s="11"/>
      <c r="AB54" s="11"/>
      <c r="AC54" s="9">
        <f t="shared" si="7"/>
        <v>0</v>
      </c>
      <c r="AD54" s="6"/>
      <c r="AE54" s="6"/>
      <c r="AF54" s="7">
        <f>65.25</f>
        <v>65.25</v>
      </c>
      <c r="AG54" s="7">
        <f>65.25</f>
        <v>65.25</v>
      </c>
      <c r="AH54" s="7"/>
      <c r="AI54" s="7">
        <f t="shared" si="8"/>
        <v>130.5</v>
      </c>
    </row>
    <row r="55" spans="1:35" x14ac:dyDescent="0.25">
      <c r="A55" s="3" t="s">
        <v>41</v>
      </c>
      <c r="B55" s="3"/>
      <c r="C55" s="8">
        <f t="shared" ref="C55:AB55" si="10">(((((((((C45)+(C46))+(C47))+(C48))+(C49))+(C50))+(C51))+(C52))+(C53))+(C54)</f>
        <v>0</v>
      </c>
      <c r="D55" s="8">
        <f t="shared" si="10"/>
        <v>7384.34</v>
      </c>
      <c r="E55" s="8">
        <f t="shared" si="10"/>
        <v>0</v>
      </c>
      <c r="F55" s="8">
        <f t="shared" si="10"/>
        <v>70.42</v>
      </c>
      <c r="G55" s="8">
        <f t="shared" si="10"/>
        <v>0</v>
      </c>
      <c r="H55" s="8">
        <f t="shared" si="10"/>
        <v>0</v>
      </c>
      <c r="I55" s="8">
        <f t="shared" si="10"/>
        <v>242.29000000000002</v>
      </c>
      <c r="J55" s="8">
        <f t="shared" si="10"/>
        <v>0</v>
      </c>
      <c r="K55" s="8">
        <f t="shared" si="10"/>
        <v>0</v>
      </c>
      <c r="L55" s="8">
        <f t="shared" si="10"/>
        <v>0</v>
      </c>
      <c r="M55" s="8">
        <f t="shared" si="10"/>
        <v>0</v>
      </c>
      <c r="N55" s="8">
        <f t="shared" si="10"/>
        <v>0</v>
      </c>
      <c r="O55" s="8">
        <f t="shared" si="10"/>
        <v>0</v>
      </c>
      <c r="P55" s="8">
        <f t="shared" si="10"/>
        <v>0</v>
      </c>
      <c r="Q55" s="8">
        <f t="shared" si="10"/>
        <v>0</v>
      </c>
      <c r="R55" s="8">
        <f t="shared" si="10"/>
        <v>0</v>
      </c>
      <c r="S55" s="8">
        <f t="shared" si="10"/>
        <v>0</v>
      </c>
      <c r="T55" s="8">
        <f t="shared" si="10"/>
        <v>0</v>
      </c>
      <c r="U55" s="12">
        <f t="shared" si="10"/>
        <v>0</v>
      </c>
      <c r="V55" s="12">
        <f t="shared" si="10"/>
        <v>12560.330000000002</v>
      </c>
      <c r="W55" s="12">
        <f t="shared" si="10"/>
        <v>0</v>
      </c>
      <c r="X55" s="12">
        <f t="shared" si="10"/>
        <v>0</v>
      </c>
      <c r="Y55" s="12">
        <f t="shared" si="10"/>
        <v>0</v>
      </c>
      <c r="Z55" s="12">
        <f t="shared" si="10"/>
        <v>0</v>
      </c>
      <c r="AA55" s="12">
        <f t="shared" si="10"/>
        <v>0</v>
      </c>
      <c r="AB55" s="12">
        <f t="shared" si="10"/>
        <v>0</v>
      </c>
      <c r="AC55" s="12">
        <f t="shared" si="7"/>
        <v>12560.330000000002</v>
      </c>
      <c r="AD55" s="8">
        <f>(((((((((AD45)+(AD46))+(AD47))+(AD48))+(AD49))+(AD50))+(AD51))+(AD52))+(AD53))+(AD54)</f>
        <v>0</v>
      </c>
      <c r="AE55" s="8">
        <f>(((((((((AE45)+(AE46))+(AE47))+(AE48))+(AE49))+(AE50))+(AE51))+(AE52))+(AE53))+(AE54)</f>
        <v>0</v>
      </c>
      <c r="AF55" s="8">
        <f>(((((((((AF45)+(AF46))+(AF47))+(AF48))+(AF49))+(AF50))+(AF51))+(AF52))+(AF53))+(AF54)</f>
        <v>65.25</v>
      </c>
      <c r="AG55" s="8">
        <f>(((((((((AG45)+(AG46))+(AG47))+(AG48))+(AG49))+(AG50))+(AG51))+(AG52))+(AG53))+(AG54)</f>
        <v>65.25</v>
      </c>
      <c r="AH55" s="8"/>
      <c r="AI55" s="8">
        <f t="shared" si="8"/>
        <v>20387.88</v>
      </c>
    </row>
    <row r="56" spans="1:35" x14ac:dyDescent="0.25">
      <c r="A56" s="3" t="s">
        <v>42</v>
      </c>
      <c r="B56" s="3"/>
      <c r="C56" s="6"/>
      <c r="D56" s="7">
        <f>1299</f>
        <v>1299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11"/>
      <c r="V56" s="11"/>
      <c r="W56" s="11"/>
      <c r="X56" s="11"/>
      <c r="Y56" s="11"/>
      <c r="Z56" s="11"/>
      <c r="AA56" s="11"/>
      <c r="AB56" s="11"/>
      <c r="AC56" s="9">
        <f t="shared" si="7"/>
        <v>0</v>
      </c>
      <c r="AD56" s="6"/>
      <c r="AE56" s="6"/>
      <c r="AF56" s="6"/>
      <c r="AG56" s="6"/>
      <c r="AH56" s="6"/>
      <c r="AI56" s="7">
        <f t="shared" si="8"/>
        <v>1299</v>
      </c>
    </row>
    <row r="57" spans="1:35" x14ac:dyDescent="0.25">
      <c r="A57" s="3" t="s">
        <v>43</v>
      </c>
      <c r="B57" s="3"/>
      <c r="C57" s="6"/>
      <c r="D57" s="7">
        <f>1696.1</f>
        <v>1696.1</v>
      </c>
      <c r="E57" s="6"/>
      <c r="F57" s="6"/>
      <c r="G57" s="7">
        <f>249.88</f>
        <v>249.88</v>
      </c>
      <c r="H57" s="6"/>
      <c r="I57" s="7">
        <f>3821.27</f>
        <v>3821.27</v>
      </c>
      <c r="J57" s="6"/>
      <c r="K57" s="7">
        <f>290.46</f>
        <v>290.45999999999998</v>
      </c>
      <c r="L57" s="7">
        <f>1701.62</f>
        <v>1701.62</v>
      </c>
      <c r="M57" s="7">
        <f>411.39</f>
        <v>411.39</v>
      </c>
      <c r="N57" s="7">
        <f>1219.74</f>
        <v>1219.74</v>
      </c>
      <c r="O57" s="7">
        <f>329.08</f>
        <v>329.08</v>
      </c>
      <c r="P57" s="6"/>
      <c r="Q57" s="6"/>
      <c r="R57" s="7">
        <f>620.89</f>
        <v>620.89</v>
      </c>
      <c r="S57" s="7">
        <f>573.06</f>
        <v>573.05999999999995</v>
      </c>
      <c r="T57" s="6"/>
      <c r="U57" s="11"/>
      <c r="V57" s="11"/>
      <c r="W57" s="11"/>
      <c r="X57" s="9">
        <f>477</f>
        <v>477</v>
      </c>
      <c r="Y57" s="9">
        <f>76.1</f>
        <v>76.099999999999994</v>
      </c>
      <c r="Z57" s="11"/>
      <c r="AA57" s="11"/>
      <c r="AB57" s="11">
        <v>1580.26</v>
      </c>
      <c r="AC57" s="9">
        <f t="shared" si="7"/>
        <v>2133.36</v>
      </c>
      <c r="AD57" s="7">
        <f>989.26</f>
        <v>989.26</v>
      </c>
      <c r="AE57" s="6"/>
      <c r="AF57" s="7">
        <f>2463.36</f>
        <v>2463.36</v>
      </c>
      <c r="AG57" s="7">
        <f>1750-1580.26</f>
        <v>169.74</v>
      </c>
      <c r="AH57" s="7"/>
      <c r="AI57" s="7">
        <f t="shared" si="8"/>
        <v>16669.210000000003</v>
      </c>
    </row>
    <row r="58" spans="1:35" x14ac:dyDescent="0.25">
      <c r="A58" s="3" t="s">
        <v>100</v>
      </c>
      <c r="B58" s="3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7">
        <f>603.29</f>
        <v>603.29</v>
      </c>
      <c r="T58" s="6"/>
      <c r="U58" s="11"/>
      <c r="V58" s="11"/>
      <c r="W58" s="11"/>
      <c r="X58" s="11"/>
      <c r="Y58" s="11"/>
      <c r="Z58" s="11"/>
      <c r="AA58" s="11"/>
      <c r="AB58" s="11"/>
      <c r="AC58" s="9">
        <f t="shared" si="7"/>
        <v>0</v>
      </c>
      <c r="AD58" s="6"/>
      <c r="AE58" s="6"/>
      <c r="AF58" s="6"/>
      <c r="AG58" s="6"/>
      <c r="AH58" s="6"/>
      <c r="AI58" s="7">
        <f t="shared" si="8"/>
        <v>603.29</v>
      </c>
    </row>
    <row r="59" spans="1:35" x14ac:dyDescent="0.25">
      <c r="A59" s="3" t="s">
        <v>44</v>
      </c>
      <c r="B59" s="3"/>
      <c r="C59" s="7">
        <f>132</f>
        <v>132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7">
        <f>80</f>
        <v>80</v>
      </c>
      <c r="T59" s="6"/>
      <c r="U59" s="11"/>
      <c r="V59" s="11"/>
      <c r="W59" s="11"/>
      <c r="X59" s="11"/>
      <c r="Y59" s="11"/>
      <c r="Z59" s="11"/>
      <c r="AA59" s="11"/>
      <c r="AB59" s="11"/>
      <c r="AC59" s="9">
        <f t="shared" si="7"/>
        <v>0</v>
      </c>
      <c r="AD59" s="7">
        <f>170</f>
        <v>170</v>
      </c>
      <c r="AE59" s="6"/>
      <c r="AF59" s="6"/>
      <c r="AG59" s="6"/>
      <c r="AH59" s="6"/>
      <c r="AI59" s="7">
        <f t="shared" si="8"/>
        <v>382</v>
      </c>
    </row>
    <row r="60" spans="1:35" x14ac:dyDescent="0.25">
      <c r="A60" s="3" t="s">
        <v>45</v>
      </c>
      <c r="B60" s="3"/>
      <c r="C60" s="6"/>
      <c r="D60" s="6"/>
      <c r="E60" s="6"/>
      <c r="F60" s="6"/>
      <c r="G60" s="6"/>
      <c r="H60" s="6"/>
      <c r="I60" s="7">
        <f>929.68</f>
        <v>929.68</v>
      </c>
      <c r="J60" s="6"/>
      <c r="K60" s="6"/>
      <c r="L60" s="6"/>
      <c r="M60" s="6"/>
      <c r="N60" s="6"/>
      <c r="O60" s="7">
        <f>2273.25</f>
        <v>2273.25</v>
      </c>
      <c r="P60" s="6"/>
      <c r="Q60" s="6"/>
      <c r="R60" s="6"/>
      <c r="S60" s="6"/>
      <c r="T60" s="6"/>
      <c r="U60" s="11"/>
      <c r="V60" s="11"/>
      <c r="W60" s="11"/>
      <c r="X60" s="11"/>
      <c r="Y60" s="11"/>
      <c r="Z60" s="11"/>
      <c r="AA60" s="11"/>
      <c r="AB60" s="11"/>
      <c r="AC60" s="9">
        <f t="shared" si="7"/>
        <v>0</v>
      </c>
      <c r="AD60" s="7">
        <f>73.08</f>
        <v>73.08</v>
      </c>
      <c r="AE60" s="7">
        <f>285.45</f>
        <v>285.45</v>
      </c>
      <c r="AF60" s="6"/>
      <c r="AG60" s="6"/>
      <c r="AH60" s="6"/>
      <c r="AI60" s="7">
        <f t="shared" si="8"/>
        <v>3561.4599999999996</v>
      </c>
    </row>
    <row r="61" spans="1:35" x14ac:dyDescent="0.25">
      <c r="A61" s="3" t="s">
        <v>101</v>
      </c>
      <c r="B61" s="3"/>
      <c r="C61" s="7">
        <f>150.88</f>
        <v>150.88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11"/>
      <c r="V61" s="11"/>
      <c r="W61" s="11"/>
      <c r="X61" s="11"/>
      <c r="Y61" s="11"/>
      <c r="Z61" s="11"/>
      <c r="AA61" s="11"/>
      <c r="AB61" s="11"/>
      <c r="AC61" s="9">
        <f t="shared" si="7"/>
        <v>0</v>
      </c>
      <c r="AD61" s="6"/>
      <c r="AE61" s="6"/>
      <c r="AF61" s="6"/>
      <c r="AG61" s="6"/>
      <c r="AH61" s="6"/>
      <c r="AI61" s="7">
        <f t="shared" si="8"/>
        <v>150.88</v>
      </c>
    </row>
    <row r="62" spans="1:35" x14ac:dyDescent="0.25">
      <c r="A62" s="3" t="s">
        <v>46</v>
      </c>
      <c r="B62" s="3"/>
      <c r="C62" s="7">
        <f>1484.69</f>
        <v>1484.69</v>
      </c>
      <c r="D62" s="6"/>
      <c r="E62" s="6"/>
      <c r="F62" s="6"/>
      <c r="G62" s="6"/>
      <c r="H62" s="7">
        <f>9000</f>
        <v>9000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11"/>
      <c r="V62" s="11"/>
      <c r="W62" s="11"/>
      <c r="X62" s="11"/>
      <c r="Y62" s="11"/>
      <c r="Z62" s="11"/>
      <c r="AA62" s="11"/>
      <c r="AB62" s="11"/>
      <c r="AC62" s="9">
        <f t="shared" si="7"/>
        <v>0</v>
      </c>
      <c r="AD62" s="6"/>
      <c r="AE62" s="6"/>
      <c r="AF62" s="6"/>
      <c r="AG62" s="6"/>
      <c r="AH62" s="6"/>
      <c r="AI62" s="7">
        <f t="shared" si="8"/>
        <v>10484.69</v>
      </c>
    </row>
    <row r="63" spans="1:35" x14ac:dyDescent="0.25">
      <c r="A63" s="3" t="s">
        <v>102</v>
      </c>
      <c r="B63" s="3"/>
      <c r="C63" s="7">
        <f>85</f>
        <v>85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11"/>
      <c r="V63" s="11"/>
      <c r="W63" s="11"/>
      <c r="X63" s="11"/>
      <c r="Y63" s="11"/>
      <c r="Z63" s="11"/>
      <c r="AA63" s="11"/>
      <c r="AB63" s="11"/>
      <c r="AC63" s="9">
        <f t="shared" si="7"/>
        <v>0</v>
      </c>
      <c r="AD63" s="6"/>
      <c r="AE63" s="6"/>
      <c r="AF63" s="6"/>
      <c r="AG63" s="6"/>
      <c r="AH63" s="6"/>
      <c r="AI63" s="7">
        <f t="shared" si="8"/>
        <v>85</v>
      </c>
    </row>
    <row r="64" spans="1:35" x14ac:dyDescent="0.25">
      <c r="A64" s="3" t="s">
        <v>103</v>
      </c>
      <c r="B64" s="3"/>
      <c r="C64" s="7">
        <f>1524.29</f>
        <v>1524.29</v>
      </c>
      <c r="D64" s="6"/>
      <c r="E64" s="7">
        <f>1299</f>
        <v>1299</v>
      </c>
      <c r="F64" s="7">
        <f>550</f>
        <v>550</v>
      </c>
      <c r="G64" s="6"/>
      <c r="H64" s="6"/>
      <c r="I64" s="7">
        <f>2799-1400.99</f>
        <v>1398.01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11"/>
      <c r="V64" s="11"/>
      <c r="W64" s="11">
        <v>1400.99</v>
      </c>
      <c r="X64" s="11"/>
      <c r="Y64" s="11"/>
      <c r="Z64" s="11"/>
      <c r="AA64" s="11"/>
      <c r="AB64" s="11"/>
      <c r="AC64" s="9">
        <f t="shared" si="7"/>
        <v>1400.99</v>
      </c>
      <c r="AD64" s="6"/>
      <c r="AE64" s="6"/>
      <c r="AF64" s="6"/>
      <c r="AG64" s="6"/>
      <c r="AH64" s="6"/>
      <c r="AI64" s="7">
        <f t="shared" si="8"/>
        <v>6172.29</v>
      </c>
    </row>
    <row r="65" spans="1:35" x14ac:dyDescent="0.25">
      <c r="A65" s="3" t="s">
        <v>104</v>
      </c>
      <c r="B65" s="3"/>
      <c r="C65" s="7">
        <f>34.47</f>
        <v>34.47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11"/>
      <c r="V65" s="11"/>
      <c r="W65" s="11"/>
      <c r="X65" s="11"/>
      <c r="Y65" s="11"/>
      <c r="Z65" s="11"/>
      <c r="AA65" s="11"/>
      <c r="AB65" s="11"/>
      <c r="AC65" s="9">
        <f t="shared" si="7"/>
        <v>0</v>
      </c>
      <c r="AD65" s="6"/>
      <c r="AE65" s="6"/>
      <c r="AF65" s="6"/>
      <c r="AG65" s="6"/>
      <c r="AH65" s="6"/>
      <c r="AI65" s="7">
        <f t="shared" si="8"/>
        <v>34.47</v>
      </c>
    </row>
    <row r="66" spans="1:35" x14ac:dyDescent="0.25">
      <c r="A66" s="3" t="s">
        <v>105</v>
      </c>
      <c r="B66" s="3"/>
      <c r="C66" s="7">
        <f>32.05</f>
        <v>32.049999999999997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11"/>
      <c r="V66" s="11"/>
      <c r="W66" s="11"/>
      <c r="X66" s="11"/>
      <c r="Y66" s="11"/>
      <c r="Z66" s="11"/>
      <c r="AA66" s="11"/>
      <c r="AB66" s="11"/>
      <c r="AC66" s="9">
        <f t="shared" si="7"/>
        <v>0</v>
      </c>
      <c r="AD66" s="6"/>
      <c r="AE66" s="6"/>
      <c r="AF66" s="6"/>
      <c r="AG66" s="6"/>
      <c r="AH66" s="6"/>
      <c r="AI66" s="7">
        <f t="shared" si="8"/>
        <v>32.049999999999997</v>
      </c>
    </row>
    <row r="67" spans="1:35" x14ac:dyDescent="0.25">
      <c r="A67" s="3" t="s">
        <v>106</v>
      </c>
      <c r="B67" s="3"/>
      <c r="C67" s="6"/>
      <c r="D67" s="7">
        <f>526.23</f>
        <v>526.23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11"/>
      <c r="V67" s="11"/>
      <c r="W67" s="11"/>
      <c r="X67" s="11"/>
      <c r="Y67" s="11"/>
      <c r="Z67" s="11"/>
      <c r="AA67" s="9">
        <f>146.48</f>
        <v>146.47999999999999</v>
      </c>
      <c r="AB67" s="11"/>
      <c r="AC67" s="9">
        <f t="shared" si="7"/>
        <v>146.47999999999999</v>
      </c>
      <c r="AD67" s="6"/>
      <c r="AE67" s="6"/>
      <c r="AF67" s="6"/>
      <c r="AG67" s="6"/>
      <c r="AH67" s="6"/>
      <c r="AI67" s="7">
        <f t="shared" si="8"/>
        <v>672.71</v>
      </c>
    </row>
    <row r="68" spans="1:35" x14ac:dyDescent="0.25">
      <c r="A68" s="3" t="s">
        <v>107</v>
      </c>
      <c r="B68" s="3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11"/>
      <c r="V68" s="11"/>
      <c r="W68" s="11"/>
      <c r="X68" s="11"/>
      <c r="Y68" s="11"/>
      <c r="Z68" s="11"/>
      <c r="AA68" s="11"/>
      <c r="AB68" s="11"/>
      <c r="AC68" s="9">
        <f t="shared" si="7"/>
        <v>0</v>
      </c>
      <c r="AD68" s="6"/>
      <c r="AE68" s="6"/>
      <c r="AF68" s="6"/>
      <c r="AG68" s="6"/>
      <c r="AH68" s="6"/>
      <c r="AI68" s="7">
        <f t="shared" si="8"/>
        <v>0</v>
      </c>
    </row>
    <row r="69" spans="1:35" x14ac:dyDescent="0.25">
      <c r="A69" s="3" t="s">
        <v>108</v>
      </c>
      <c r="B69" s="3"/>
      <c r="C69" s="6"/>
      <c r="D69" s="7">
        <f>1200</f>
        <v>1200</v>
      </c>
      <c r="E69" s="6"/>
      <c r="F69" s="7">
        <f>10500</f>
        <v>10500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11"/>
      <c r="V69" s="11"/>
      <c r="W69" s="11"/>
      <c r="X69" s="11"/>
      <c r="Y69" s="11"/>
      <c r="Z69" s="11"/>
      <c r="AA69" s="11"/>
      <c r="AB69" s="11"/>
      <c r="AC69" s="9">
        <f t="shared" si="7"/>
        <v>0</v>
      </c>
      <c r="AD69" s="6"/>
      <c r="AE69" s="6"/>
      <c r="AF69" s="6"/>
      <c r="AG69" s="6"/>
      <c r="AH69" s="6"/>
      <c r="AI69" s="7">
        <f t="shared" si="8"/>
        <v>11700</v>
      </c>
    </row>
    <row r="70" spans="1:35" x14ac:dyDescent="0.25">
      <c r="A70" s="3" t="s">
        <v>109</v>
      </c>
      <c r="B70" s="3"/>
      <c r="C70" s="8">
        <f t="shared" ref="C70:AB70" si="11">(C68)+(C69)</f>
        <v>0</v>
      </c>
      <c r="D70" s="8">
        <f t="shared" si="11"/>
        <v>1200</v>
      </c>
      <c r="E70" s="8">
        <f t="shared" si="11"/>
        <v>0</v>
      </c>
      <c r="F70" s="8">
        <f t="shared" si="11"/>
        <v>10500</v>
      </c>
      <c r="G70" s="8">
        <f t="shared" si="11"/>
        <v>0</v>
      </c>
      <c r="H70" s="8">
        <f t="shared" si="11"/>
        <v>0</v>
      </c>
      <c r="I70" s="8">
        <f t="shared" si="11"/>
        <v>0</v>
      </c>
      <c r="J70" s="8">
        <f t="shared" si="11"/>
        <v>0</v>
      </c>
      <c r="K70" s="8">
        <f t="shared" si="11"/>
        <v>0</v>
      </c>
      <c r="L70" s="8">
        <f t="shared" si="11"/>
        <v>0</v>
      </c>
      <c r="M70" s="8">
        <f t="shared" si="11"/>
        <v>0</v>
      </c>
      <c r="N70" s="8">
        <f t="shared" si="11"/>
        <v>0</v>
      </c>
      <c r="O70" s="8">
        <f t="shared" si="11"/>
        <v>0</v>
      </c>
      <c r="P70" s="8">
        <f t="shared" si="11"/>
        <v>0</v>
      </c>
      <c r="Q70" s="8">
        <f t="shared" si="11"/>
        <v>0</v>
      </c>
      <c r="R70" s="8">
        <f t="shared" si="11"/>
        <v>0</v>
      </c>
      <c r="S70" s="8">
        <f t="shared" si="11"/>
        <v>0</v>
      </c>
      <c r="T70" s="8">
        <f t="shared" si="11"/>
        <v>0</v>
      </c>
      <c r="U70" s="12">
        <f t="shared" si="11"/>
        <v>0</v>
      </c>
      <c r="V70" s="12">
        <f t="shared" si="11"/>
        <v>0</v>
      </c>
      <c r="W70" s="12">
        <f t="shared" si="11"/>
        <v>0</v>
      </c>
      <c r="X70" s="12">
        <f t="shared" si="11"/>
        <v>0</v>
      </c>
      <c r="Y70" s="12">
        <f t="shared" si="11"/>
        <v>0</v>
      </c>
      <c r="Z70" s="12">
        <f t="shared" si="11"/>
        <v>0</v>
      </c>
      <c r="AA70" s="12">
        <f t="shared" si="11"/>
        <v>0</v>
      </c>
      <c r="AB70" s="12">
        <f t="shared" si="11"/>
        <v>0</v>
      </c>
      <c r="AC70" s="12">
        <f t="shared" si="7"/>
        <v>0</v>
      </c>
      <c r="AD70" s="8">
        <f>(AD68)+(AD69)</f>
        <v>0</v>
      </c>
      <c r="AE70" s="8">
        <f>(AE68)+(AE69)</f>
        <v>0</v>
      </c>
      <c r="AF70" s="8">
        <f>(AF68)+(AF69)</f>
        <v>0</v>
      </c>
      <c r="AG70" s="8">
        <f>(AG68)+(AG69)</f>
        <v>0</v>
      </c>
      <c r="AH70" s="8"/>
      <c r="AI70" s="8">
        <f t="shared" si="8"/>
        <v>11700</v>
      </c>
    </row>
    <row r="71" spans="1:35" x14ac:dyDescent="0.25">
      <c r="A71" s="3" t="s">
        <v>47</v>
      </c>
      <c r="B71" s="3"/>
      <c r="C71" s="6"/>
      <c r="D71" s="6"/>
      <c r="E71" s="6"/>
      <c r="F71" s="7">
        <f>779.15</f>
        <v>779.15</v>
      </c>
      <c r="G71" s="7">
        <f>293.38</f>
        <v>293.38</v>
      </c>
      <c r="H71" s="6"/>
      <c r="I71" s="7">
        <f>380</f>
        <v>380</v>
      </c>
      <c r="J71" s="6"/>
      <c r="K71" s="7">
        <f>155</f>
        <v>155</v>
      </c>
      <c r="L71" s="6"/>
      <c r="M71" s="6"/>
      <c r="N71" s="7">
        <f>504.91</f>
        <v>504.91</v>
      </c>
      <c r="O71" s="6"/>
      <c r="P71" s="6"/>
      <c r="Q71" s="6"/>
      <c r="R71" s="6"/>
      <c r="S71" s="7">
        <f>1514.07</f>
        <v>1514.07</v>
      </c>
      <c r="T71" s="6"/>
      <c r="U71" s="11"/>
      <c r="V71" s="11"/>
      <c r="W71" s="11"/>
      <c r="X71" s="11"/>
      <c r="Y71" s="11"/>
      <c r="Z71" s="11"/>
      <c r="AA71" s="11"/>
      <c r="AB71" s="11"/>
      <c r="AC71" s="9">
        <f t="shared" si="7"/>
        <v>0</v>
      </c>
      <c r="AD71" s="6"/>
      <c r="AE71" s="6"/>
      <c r="AF71" s="6"/>
      <c r="AG71" s="6"/>
      <c r="AH71" s="6"/>
      <c r="AI71" s="7">
        <f t="shared" si="8"/>
        <v>3626.51</v>
      </c>
    </row>
    <row r="72" spans="1:35" x14ac:dyDescent="0.25">
      <c r="A72" s="3" t="s">
        <v>110</v>
      </c>
      <c r="B72" s="3"/>
      <c r="C72" s="6"/>
      <c r="D72" s="6"/>
      <c r="E72" s="6"/>
      <c r="F72" s="7">
        <f>4646</f>
        <v>4646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11"/>
      <c r="V72" s="11"/>
      <c r="W72" s="11"/>
      <c r="X72" s="11"/>
      <c r="Y72" s="11"/>
      <c r="Z72" s="11"/>
      <c r="AA72" s="11"/>
      <c r="AB72" s="11"/>
      <c r="AC72" s="9">
        <f t="shared" si="7"/>
        <v>0</v>
      </c>
      <c r="AD72" s="6"/>
      <c r="AE72" s="6"/>
      <c r="AF72" s="6"/>
      <c r="AG72" s="6"/>
      <c r="AH72" s="6"/>
      <c r="AI72" s="7">
        <f t="shared" si="8"/>
        <v>4646</v>
      </c>
    </row>
    <row r="73" spans="1:35" x14ac:dyDescent="0.25">
      <c r="A73" s="3" t="s">
        <v>111</v>
      </c>
      <c r="B73" s="3"/>
      <c r="C73" s="6"/>
      <c r="D73" s="6"/>
      <c r="E73" s="7">
        <f>563.26</f>
        <v>563.26</v>
      </c>
      <c r="F73" s="6"/>
      <c r="G73" s="6"/>
      <c r="H73" s="6"/>
      <c r="I73" s="7">
        <f>274.44</f>
        <v>274.44</v>
      </c>
      <c r="J73" s="6"/>
      <c r="K73" s="6"/>
      <c r="L73" s="6"/>
      <c r="M73" s="6"/>
      <c r="N73" s="6"/>
      <c r="O73" s="6"/>
      <c r="P73" s="6"/>
      <c r="Q73" s="6"/>
      <c r="R73" s="6"/>
      <c r="S73" s="7">
        <f>157.51</f>
        <v>157.51</v>
      </c>
      <c r="T73" s="6"/>
      <c r="U73" s="11"/>
      <c r="V73" s="11"/>
      <c r="W73" s="11"/>
      <c r="X73" s="11"/>
      <c r="Y73" s="11"/>
      <c r="Z73" s="11"/>
      <c r="AA73" s="11"/>
      <c r="AB73" s="11"/>
      <c r="AC73" s="9">
        <f t="shared" si="7"/>
        <v>0</v>
      </c>
      <c r="AD73" s="6"/>
      <c r="AE73" s="6"/>
      <c r="AF73" s="6"/>
      <c r="AG73" s="6"/>
      <c r="AH73" s="6"/>
      <c r="AI73" s="7">
        <f t="shared" si="8"/>
        <v>995.21</v>
      </c>
    </row>
    <row r="74" spans="1:35" x14ac:dyDescent="0.25">
      <c r="A74" s="3" t="s">
        <v>112</v>
      </c>
      <c r="B74" s="3"/>
      <c r="C74" s="6"/>
      <c r="D74" s="7">
        <f>3779.75</f>
        <v>3779.75</v>
      </c>
      <c r="E74" s="7">
        <f>1532.76</f>
        <v>1532.76</v>
      </c>
      <c r="F74" s="7">
        <f>16704.6</f>
        <v>16704.599999999999</v>
      </c>
      <c r="G74" s="7">
        <f>6187.54</f>
        <v>6187.54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11"/>
      <c r="V74" s="11"/>
      <c r="W74" s="11"/>
      <c r="X74" s="11"/>
      <c r="Y74" s="11"/>
      <c r="Z74" s="11"/>
      <c r="AA74" s="11"/>
      <c r="AB74" s="11"/>
      <c r="AC74" s="9">
        <f t="shared" si="7"/>
        <v>0</v>
      </c>
      <c r="AD74" s="6"/>
      <c r="AE74" s="6"/>
      <c r="AF74" s="6"/>
      <c r="AG74" s="7">
        <f>1025.6</f>
        <v>1025.5999999999999</v>
      </c>
      <c r="AH74" s="7"/>
      <c r="AI74" s="7">
        <f t="shared" si="8"/>
        <v>29230.25</v>
      </c>
    </row>
    <row r="75" spans="1:35" x14ac:dyDescent="0.25">
      <c r="A75" s="3" t="s">
        <v>48</v>
      </c>
      <c r="B75" s="3"/>
      <c r="C75" s="6"/>
      <c r="D75" s="6"/>
      <c r="E75" s="6"/>
      <c r="F75" s="6"/>
      <c r="G75" s="6"/>
      <c r="H75" s="6"/>
      <c r="I75" s="7">
        <f>16898.89</f>
        <v>16898.89</v>
      </c>
      <c r="J75" s="6"/>
      <c r="K75" s="6"/>
      <c r="L75" s="6"/>
      <c r="M75" s="6"/>
      <c r="N75" s="7">
        <f>2212.04</f>
        <v>2212.04</v>
      </c>
      <c r="O75" s="7">
        <f>8742.27</f>
        <v>8742.27</v>
      </c>
      <c r="P75" s="6"/>
      <c r="Q75" s="6"/>
      <c r="R75" s="6"/>
      <c r="S75" s="6"/>
      <c r="T75" s="6"/>
      <c r="U75" s="11"/>
      <c r="V75" s="11"/>
      <c r="W75" s="11"/>
      <c r="X75" s="11"/>
      <c r="Y75" s="11"/>
      <c r="Z75" s="9">
        <f>3117.6</f>
        <v>3117.6</v>
      </c>
      <c r="AA75" s="11"/>
      <c r="AB75" s="11"/>
      <c r="AC75" s="9">
        <f t="shared" si="7"/>
        <v>3117.6</v>
      </c>
      <c r="AD75" s="7">
        <f>1913.33</f>
        <v>1913.33</v>
      </c>
      <c r="AE75" s="6"/>
      <c r="AF75" s="6"/>
      <c r="AG75" s="6"/>
      <c r="AH75" s="6"/>
      <c r="AI75" s="7">
        <f t="shared" si="8"/>
        <v>32884.129999999997</v>
      </c>
    </row>
    <row r="76" spans="1:35" x14ac:dyDescent="0.25">
      <c r="A76" s="3" t="s">
        <v>49</v>
      </c>
      <c r="B76" s="3"/>
      <c r="C76" s="7">
        <f>7623.97</f>
        <v>7623.97</v>
      </c>
      <c r="D76" s="7">
        <f>642.43</f>
        <v>642.42999999999995</v>
      </c>
      <c r="E76" s="6"/>
      <c r="F76" s="6"/>
      <c r="G76" s="7">
        <f>967.45</f>
        <v>967.45</v>
      </c>
      <c r="H76" s="6"/>
      <c r="I76" s="7">
        <f>1629.05</f>
        <v>1629.05</v>
      </c>
      <c r="J76" s="6"/>
      <c r="K76" s="6"/>
      <c r="L76" s="6"/>
      <c r="M76" s="7">
        <f>1638.34</f>
        <v>1638.34</v>
      </c>
      <c r="N76" s="6"/>
      <c r="O76" s="6"/>
      <c r="P76" s="6"/>
      <c r="Q76" s="6"/>
      <c r="R76" s="6"/>
      <c r="S76" s="7">
        <f>1225.66</f>
        <v>1225.6600000000001</v>
      </c>
      <c r="T76" s="7">
        <f>1614.82</f>
        <v>1614.82</v>
      </c>
      <c r="U76" s="11"/>
      <c r="V76" s="11"/>
      <c r="W76" s="9">
        <f>3728.59</f>
        <v>3728.59</v>
      </c>
      <c r="X76" s="11"/>
      <c r="Y76" s="11"/>
      <c r="Z76" s="11"/>
      <c r="AA76" s="11"/>
      <c r="AB76" s="11"/>
      <c r="AC76" s="9">
        <f t="shared" si="7"/>
        <v>3728.59</v>
      </c>
      <c r="AD76" s="6"/>
      <c r="AE76" s="7">
        <f>333.03</f>
        <v>333.03</v>
      </c>
      <c r="AF76" s="6"/>
      <c r="AG76" s="6"/>
      <c r="AH76" s="6"/>
      <c r="AI76" s="7">
        <f t="shared" si="8"/>
        <v>19403.339999999997</v>
      </c>
    </row>
    <row r="77" spans="1:35" x14ac:dyDescent="0.25">
      <c r="A77" s="3" t="s">
        <v>50</v>
      </c>
      <c r="B77" s="3"/>
      <c r="C77" s="8">
        <f t="shared" ref="C77:AB77" si="12">(C75)+(C76)</f>
        <v>7623.97</v>
      </c>
      <c r="D77" s="8">
        <f t="shared" si="12"/>
        <v>642.42999999999995</v>
      </c>
      <c r="E77" s="8">
        <f t="shared" si="12"/>
        <v>0</v>
      </c>
      <c r="F77" s="8">
        <f t="shared" si="12"/>
        <v>0</v>
      </c>
      <c r="G77" s="8">
        <f t="shared" si="12"/>
        <v>967.45</v>
      </c>
      <c r="H77" s="8">
        <f t="shared" si="12"/>
        <v>0</v>
      </c>
      <c r="I77" s="8">
        <f t="shared" si="12"/>
        <v>18527.939999999999</v>
      </c>
      <c r="J77" s="8">
        <f t="shared" si="12"/>
        <v>0</v>
      </c>
      <c r="K77" s="8">
        <f t="shared" si="12"/>
        <v>0</v>
      </c>
      <c r="L77" s="8">
        <f t="shared" si="12"/>
        <v>0</v>
      </c>
      <c r="M77" s="8">
        <f t="shared" si="12"/>
        <v>1638.34</v>
      </c>
      <c r="N77" s="8">
        <f t="shared" si="12"/>
        <v>2212.04</v>
      </c>
      <c r="O77" s="8">
        <f t="shared" si="12"/>
        <v>8742.27</v>
      </c>
      <c r="P77" s="8">
        <f t="shared" si="12"/>
        <v>0</v>
      </c>
      <c r="Q77" s="8">
        <f t="shared" si="12"/>
        <v>0</v>
      </c>
      <c r="R77" s="8">
        <f t="shared" si="12"/>
        <v>0</v>
      </c>
      <c r="S77" s="8">
        <f t="shared" si="12"/>
        <v>1225.6600000000001</v>
      </c>
      <c r="T77" s="8">
        <f t="shared" si="12"/>
        <v>1614.82</v>
      </c>
      <c r="U77" s="12">
        <f t="shared" si="12"/>
        <v>0</v>
      </c>
      <c r="V77" s="12">
        <f t="shared" si="12"/>
        <v>0</v>
      </c>
      <c r="W77" s="12">
        <f t="shared" si="12"/>
        <v>3728.59</v>
      </c>
      <c r="X77" s="12">
        <f t="shared" si="12"/>
        <v>0</v>
      </c>
      <c r="Y77" s="12">
        <f t="shared" si="12"/>
        <v>0</v>
      </c>
      <c r="Z77" s="12">
        <f t="shared" si="12"/>
        <v>3117.6</v>
      </c>
      <c r="AA77" s="12">
        <f t="shared" si="12"/>
        <v>0</v>
      </c>
      <c r="AB77" s="12">
        <f t="shared" si="12"/>
        <v>0</v>
      </c>
      <c r="AC77" s="12">
        <f t="shared" si="7"/>
        <v>6846.1900000000005</v>
      </c>
      <c r="AD77" s="8">
        <f>(AD75)+(AD76)</f>
        <v>1913.33</v>
      </c>
      <c r="AE77" s="8">
        <f>(AE75)+(AE76)</f>
        <v>333.03</v>
      </c>
      <c r="AF77" s="8">
        <f>(AF75)+(AF76)</f>
        <v>0</v>
      </c>
      <c r="AG77" s="8">
        <f>(AG75)+(AG76)</f>
        <v>0</v>
      </c>
      <c r="AH77" s="8"/>
      <c r="AI77" s="8">
        <f t="shared" si="8"/>
        <v>52287.470000000008</v>
      </c>
    </row>
    <row r="78" spans="1:35" x14ac:dyDescent="0.25">
      <c r="A78" s="3" t="s">
        <v>51</v>
      </c>
      <c r="B78" s="3"/>
      <c r="C78" s="7">
        <f>725</f>
        <v>725</v>
      </c>
      <c r="D78" s="7">
        <f>2800</f>
        <v>2800</v>
      </c>
      <c r="E78" s="7">
        <f>1850</f>
        <v>1850</v>
      </c>
      <c r="F78" s="6"/>
      <c r="G78" s="7">
        <f>1595</f>
        <v>1595</v>
      </c>
      <c r="H78" s="6"/>
      <c r="I78" s="6"/>
      <c r="J78" s="6"/>
      <c r="K78" s="7">
        <f>109.14</f>
        <v>109.14</v>
      </c>
      <c r="L78" s="6"/>
      <c r="M78" s="6"/>
      <c r="N78" s="7">
        <f>1275</f>
        <v>1275</v>
      </c>
      <c r="O78" s="6"/>
      <c r="P78" s="6"/>
      <c r="Q78" s="7">
        <f>600</f>
        <v>600</v>
      </c>
      <c r="R78" s="6"/>
      <c r="S78" s="6"/>
      <c r="T78" s="6"/>
      <c r="U78" s="11"/>
      <c r="V78" s="11"/>
      <c r="W78" s="11"/>
      <c r="X78" s="9">
        <f>647.04</f>
        <v>647.04</v>
      </c>
      <c r="Y78" s="11"/>
      <c r="Z78" s="11"/>
      <c r="AA78" s="11"/>
      <c r="AB78" s="11">
        <v>1981.12</v>
      </c>
      <c r="AC78" s="9">
        <f t="shared" si="7"/>
        <v>2628.16</v>
      </c>
      <c r="AD78" s="7">
        <f>1300</f>
        <v>1300</v>
      </c>
      <c r="AE78" s="7">
        <f>2625</f>
        <v>2625</v>
      </c>
      <c r="AF78" s="7">
        <f>3075</f>
        <v>3075</v>
      </c>
      <c r="AG78" s="7">
        <f>3180-1981.12</f>
        <v>1198.8800000000001</v>
      </c>
      <c r="AH78" s="7"/>
      <c r="AI78" s="7">
        <f t="shared" si="8"/>
        <v>19781.18</v>
      </c>
    </row>
    <row r="79" spans="1:35" x14ac:dyDescent="0.25">
      <c r="A79" s="3" t="s">
        <v>52</v>
      </c>
      <c r="B79" s="3"/>
      <c r="C79" s="8">
        <f t="shared" ref="C79:AB79" si="13">((((((((((((((((((C56)+(C57))+(C58))+(C59))+(C60))+(C61))+(C62))+(C63))+(C64))+(C65))+(C66))+(C67))+(C70))+(C71))+(C72))+(C73))+(C74))+(C77))+(C78)</f>
        <v>11792.35</v>
      </c>
      <c r="D79" s="8">
        <f t="shared" si="13"/>
        <v>11943.51</v>
      </c>
      <c r="E79" s="8">
        <f t="shared" si="13"/>
        <v>5245.02</v>
      </c>
      <c r="F79" s="8">
        <f t="shared" si="13"/>
        <v>33179.75</v>
      </c>
      <c r="G79" s="8">
        <f t="shared" si="13"/>
        <v>9293.25</v>
      </c>
      <c r="H79" s="8">
        <f t="shared" si="13"/>
        <v>9000</v>
      </c>
      <c r="I79" s="8">
        <f t="shared" si="13"/>
        <v>25331.339999999997</v>
      </c>
      <c r="J79" s="8">
        <f t="shared" si="13"/>
        <v>0</v>
      </c>
      <c r="K79" s="8">
        <f t="shared" si="13"/>
        <v>554.6</v>
      </c>
      <c r="L79" s="8">
        <f t="shared" si="13"/>
        <v>1701.62</v>
      </c>
      <c r="M79" s="8">
        <f t="shared" si="13"/>
        <v>2049.73</v>
      </c>
      <c r="N79" s="8">
        <f t="shared" si="13"/>
        <v>5211.6900000000005</v>
      </c>
      <c r="O79" s="8">
        <f t="shared" si="13"/>
        <v>11344.6</v>
      </c>
      <c r="P79" s="8">
        <f t="shared" si="13"/>
        <v>0</v>
      </c>
      <c r="Q79" s="8">
        <f t="shared" si="13"/>
        <v>600</v>
      </c>
      <c r="R79" s="8">
        <f t="shared" si="13"/>
        <v>620.89</v>
      </c>
      <c r="S79" s="8">
        <f t="shared" si="13"/>
        <v>4153.59</v>
      </c>
      <c r="T79" s="8">
        <f t="shared" si="13"/>
        <v>1614.82</v>
      </c>
      <c r="U79" s="12">
        <f t="shared" si="13"/>
        <v>0</v>
      </c>
      <c r="V79" s="12">
        <f t="shared" si="13"/>
        <v>0</v>
      </c>
      <c r="W79" s="12">
        <f t="shared" si="13"/>
        <v>5129.58</v>
      </c>
      <c r="X79" s="12">
        <f t="shared" si="13"/>
        <v>1124.04</v>
      </c>
      <c r="Y79" s="12">
        <f t="shared" si="13"/>
        <v>76.099999999999994</v>
      </c>
      <c r="Z79" s="12">
        <f t="shared" si="13"/>
        <v>3117.6</v>
      </c>
      <c r="AA79" s="12">
        <f t="shared" si="13"/>
        <v>146.47999999999999</v>
      </c>
      <c r="AB79" s="12">
        <f t="shared" si="13"/>
        <v>3561.38</v>
      </c>
      <c r="AC79" s="12">
        <f t="shared" si="7"/>
        <v>13155.18</v>
      </c>
      <c r="AD79" s="8">
        <f>((((((((((((((((((AD56)+(AD57))+(AD58))+(AD59))+(AD60))+(AD61))+(AD62))+(AD63))+(AD64))+(AD65))+(AD66))+(AD67))+(AD70))+(AD71))+(AD72))+(AD73))+(AD74))+(AD77))+(AD78)</f>
        <v>4445.67</v>
      </c>
      <c r="AE79" s="8">
        <f>((((((((((((((((((AE56)+(AE57))+(AE58))+(AE59))+(AE60))+(AE61))+(AE62))+(AE63))+(AE64))+(AE65))+(AE66))+(AE67))+(AE70))+(AE71))+(AE72))+(AE73))+(AE74))+(AE77))+(AE78)</f>
        <v>3243.48</v>
      </c>
      <c r="AF79" s="8">
        <f>((((((((((((((((((AF56)+(AF57))+(AF58))+(AF59))+(AF60))+(AF61))+(AF62))+(AF63))+(AF64))+(AF65))+(AF66))+(AF67))+(AF70))+(AF71))+(AF72))+(AF73))+(AF74))+(AF77))+(AF78)</f>
        <v>5538.3600000000006</v>
      </c>
      <c r="AG79" s="8">
        <f>((((((((((((((((((AG56)+(AG57))+(AG58))+(AG59))+(AG60))+(AG61))+(AG62))+(AG63))+(AG64))+(AG65))+(AG66))+(AG67))+(AG70))+(AG71))+(AG72))+(AG73))+(AG74))+(AG77))+(AG78)</f>
        <v>2394.2200000000003</v>
      </c>
      <c r="AH79" s="8"/>
      <c r="AI79" s="8">
        <f t="shared" si="8"/>
        <v>162413.67000000001</v>
      </c>
    </row>
    <row r="80" spans="1:35" x14ac:dyDescent="0.25">
      <c r="A80" s="3" t="s">
        <v>53</v>
      </c>
      <c r="B80" s="3"/>
      <c r="C80" s="8">
        <f t="shared" ref="C80:AB80" si="14">((C44)+(C55))+(C79)</f>
        <v>11792.35</v>
      </c>
      <c r="D80" s="8">
        <f t="shared" si="14"/>
        <v>19327.849999999999</v>
      </c>
      <c r="E80" s="8">
        <f t="shared" si="14"/>
        <v>5245.02</v>
      </c>
      <c r="F80" s="8">
        <f t="shared" si="14"/>
        <v>33250.17</v>
      </c>
      <c r="G80" s="8">
        <f t="shared" si="14"/>
        <v>9293.25</v>
      </c>
      <c r="H80" s="8">
        <f t="shared" si="14"/>
        <v>9000</v>
      </c>
      <c r="I80" s="8">
        <f t="shared" si="14"/>
        <v>25573.629999999997</v>
      </c>
      <c r="J80" s="8">
        <f t="shared" si="14"/>
        <v>0</v>
      </c>
      <c r="K80" s="8">
        <f t="shared" si="14"/>
        <v>554.6</v>
      </c>
      <c r="L80" s="8">
        <f t="shared" si="14"/>
        <v>1701.62</v>
      </c>
      <c r="M80" s="8">
        <f t="shared" si="14"/>
        <v>2049.73</v>
      </c>
      <c r="N80" s="8">
        <f t="shared" si="14"/>
        <v>5211.6900000000005</v>
      </c>
      <c r="O80" s="8">
        <f t="shared" si="14"/>
        <v>11344.6</v>
      </c>
      <c r="P80" s="8">
        <f t="shared" si="14"/>
        <v>0</v>
      </c>
      <c r="Q80" s="8">
        <f t="shared" si="14"/>
        <v>1294</v>
      </c>
      <c r="R80" s="8">
        <f t="shared" si="14"/>
        <v>620.89</v>
      </c>
      <c r="S80" s="8">
        <f t="shared" si="14"/>
        <v>4153.59</v>
      </c>
      <c r="T80" s="8">
        <f t="shared" si="14"/>
        <v>1614.82</v>
      </c>
      <c r="U80" s="12">
        <f t="shared" si="14"/>
        <v>0</v>
      </c>
      <c r="V80" s="12">
        <f t="shared" si="14"/>
        <v>20268.38</v>
      </c>
      <c r="W80" s="12">
        <f t="shared" si="14"/>
        <v>5129.58</v>
      </c>
      <c r="X80" s="12">
        <f t="shared" si="14"/>
        <v>1124.04</v>
      </c>
      <c r="Y80" s="12">
        <f t="shared" si="14"/>
        <v>76.099999999999994</v>
      </c>
      <c r="Z80" s="12">
        <f t="shared" si="14"/>
        <v>3117.6</v>
      </c>
      <c r="AA80" s="12">
        <f t="shared" si="14"/>
        <v>146.47999999999999</v>
      </c>
      <c r="AB80" s="12">
        <f t="shared" si="14"/>
        <v>3561.38</v>
      </c>
      <c r="AC80" s="12">
        <f t="shared" si="7"/>
        <v>33423.56</v>
      </c>
      <c r="AD80" s="8">
        <f>((AD44)+(AD55))+(AD79)</f>
        <v>4445.67</v>
      </c>
      <c r="AE80" s="8">
        <f>((AE44)+(AE55))+(AE79)</f>
        <v>3243.48</v>
      </c>
      <c r="AF80" s="8">
        <f>((AF44)+(AF55))+(AF79)</f>
        <v>5603.6100000000006</v>
      </c>
      <c r="AG80" s="8">
        <f>((AG44)+(AG55))+(AG79)</f>
        <v>2459.4700000000003</v>
      </c>
      <c r="AH80" s="8"/>
      <c r="AI80" s="8">
        <f t="shared" si="8"/>
        <v>191203.6</v>
      </c>
    </row>
    <row r="81" spans="1:35" x14ac:dyDescent="0.25">
      <c r="A81" s="3" t="s">
        <v>54</v>
      </c>
      <c r="B81" s="3"/>
      <c r="C81" s="8">
        <f t="shared" ref="C81:AB81" si="15">(C35)-(C80)</f>
        <v>-2916.3500000000004</v>
      </c>
      <c r="D81" s="8">
        <f t="shared" si="15"/>
        <v>11579.95</v>
      </c>
      <c r="E81" s="8">
        <f t="shared" si="15"/>
        <v>1539.8999999999996</v>
      </c>
      <c r="F81" s="8">
        <f t="shared" si="15"/>
        <v>-19370.98</v>
      </c>
      <c r="G81" s="8">
        <f t="shared" si="15"/>
        <v>-7793.25</v>
      </c>
      <c r="H81" s="8">
        <f t="shared" si="15"/>
        <v>-9000</v>
      </c>
      <c r="I81" s="8">
        <f t="shared" si="15"/>
        <v>-22469.569999999996</v>
      </c>
      <c r="J81" s="8">
        <f t="shared" si="15"/>
        <v>1440.87</v>
      </c>
      <c r="K81" s="8">
        <f t="shared" si="15"/>
        <v>-304.60000000000002</v>
      </c>
      <c r="L81" s="8">
        <f t="shared" si="15"/>
        <v>7486.1799999999994</v>
      </c>
      <c r="M81" s="8">
        <f t="shared" si="15"/>
        <v>-1805.83</v>
      </c>
      <c r="N81" s="8">
        <f t="shared" si="15"/>
        <v>2809.1099999999997</v>
      </c>
      <c r="O81" s="8">
        <f t="shared" si="15"/>
        <v>6380.1999999999989</v>
      </c>
      <c r="P81" s="8">
        <f t="shared" si="15"/>
        <v>3168.52</v>
      </c>
      <c r="Q81" s="8">
        <f t="shared" si="15"/>
        <v>-1049</v>
      </c>
      <c r="R81" s="8">
        <f t="shared" si="15"/>
        <v>-580.89</v>
      </c>
      <c r="S81" s="8">
        <f t="shared" si="15"/>
        <v>-3313.59</v>
      </c>
      <c r="T81" s="8">
        <f t="shared" si="15"/>
        <v>-1371.22</v>
      </c>
      <c r="U81" s="12">
        <f t="shared" si="15"/>
        <v>0</v>
      </c>
      <c r="V81" s="12">
        <f t="shared" si="15"/>
        <v>90160.049999999988</v>
      </c>
      <c r="W81" s="12">
        <f t="shared" si="15"/>
        <v>-5129.58</v>
      </c>
      <c r="X81" s="12">
        <f t="shared" si="15"/>
        <v>-1124.04</v>
      </c>
      <c r="Y81" s="12">
        <f t="shared" si="15"/>
        <v>-76.099999999999994</v>
      </c>
      <c r="Z81" s="12">
        <f t="shared" si="15"/>
        <v>-3117.6</v>
      </c>
      <c r="AA81" s="12">
        <f t="shared" si="15"/>
        <v>-146.47999999999999</v>
      </c>
      <c r="AB81" s="12">
        <f t="shared" si="15"/>
        <v>-3561.38</v>
      </c>
      <c r="AC81" s="12">
        <f t="shared" si="7"/>
        <v>77004.869999999981</v>
      </c>
      <c r="AD81" s="8">
        <f>(AD35)-(AD80)</f>
        <v>-2599.75</v>
      </c>
      <c r="AE81" s="8">
        <f>(AE35)-(AE80)</f>
        <v>-2993.48</v>
      </c>
      <c r="AF81" s="8">
        <f>(AF35)-(AF80)</f>
        <v>-5473.3200000000006</v>
      </c>
      <c r="AG81" s="8">
        <f>(AG35)-(AG80)</f>
        <v>612.30999999999949</v>
      </c>
      <c r="AH81" s="8"/>
      <c r="AI81" s="8">
        <f t="shared" si="8"/>
        <v>30980.07999999998</v>
      </c>
    </row>
    <row r="82" spans="1:35" x14ac:dyDescent="0.25">
      <c r="A82" s="3" t="s">
        <v>55</v>
      </c>
      <c r="B82" s="3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11"/>
      <c r="V82" s="11"/>
      <c r="W82" s="11"/>
      <c r="X82" s="11"/>
      <c r="Y82" s="11"/>
      <c r="Z82" s="11"/>
      <c r="AA82" s="11"/>
      <c r="AB82" s="11"/>
      <c r="AC82" s="11"/>
      <c r="AD82" s="6"/>
      <c r="AE82" s="6"/>
      <c r="AF82" s="6"/>
      <c r="AG82" s="6"/>
      <c r="AH82" s="6"/>
      <c r="AI82" s="6"/>
    </row>
    <row r="83" spans="1:35" x14ac:dyDescent="0.25">
      <c r="A83" s="3" t="s">
        <v>56</v>
      </c>
      <c r="B83" s="3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11"/>
      <c r="V83" s="9">
        <f>68.69</f>
        <v>68.69</v>
      </c>
      <c r="W83" s="11"/>
      <c r="X83" s="11"/>
      <c r="Y83" s="11"/>
      <c r="Z83" s="11"/>
      <c r="AA83" s="11"/>
      <c r="AB83" s="11"/>
      <c r="AC83" s="9">
        <f t="shared" ref="AC83:AC89" si="16">(((((((U83)+(V83))+(W83))+(X83))+(Y83))+(Z83))+(AA83))+(AB83)</f>
        <v>68.69</v>
      </c>
      <c r="AD83" s="6"/>
      <c r="AE83" s="6"/>
      <c r="AF83" s="6"/>
      <c r="AG83" s="6"/>
      <c r="AH83" s="6"/>
      <c r="AI83" s="7">
        <f t="shared" ref="AI83:AI89" si="17">((((((((((((((((((((((C83)+(D83))+(E83))+(F83))+(G83))+(H83))+(I83))+(J83))+(K83))+(L83))+(M83))+(N83))+(O83))+(P83))+(Q83))+(R83))+(S83))+(T83))+(AC83))+(AD83))+(AE83))+(AF83))+(AG83)</f>
        <v>68.69</v>
      </c>
    </row>
    <row r="84" spans="1:35" x14ac:dyDescent="0.25">
      <c r="A84" s="3" t="s">
        <v>57</v>
      </c>
      <c r="B84" s="3"/>
      <c r="C84" s="7">
        <f>5650</f>
        <v>5650</v>
      </c>
      <c r="D84" s="7">
        <f>2275</f>
        <v>2275</v>
      </c>
      <c r="E84" s="7">
        <f>2331</f>
        <v>2331</v>
      </c>
      <c r="F84" s="7">
        <f>20863</f>
        <v>20863</v>
      </c>
      <c r="G84" s="7">
        <f>5714</f>
        <v>5714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7">
        <f>90</f>
        <v>90</v>
      </c>
      <c r="U84" s="11"/>
      <c r="V84" s="11"/>
      <c r="W84" s="11"/>
      <c r="X84" s="11"/>
      <c r="Y84" s="11"/>
      <c r="Z84" s="11"/>
      <c r="AA84" s="11"/>
      <c r="AB84" s="11"/>
      <c r="AC84" s="9">
        <f t="shared" si="16"/>
        <v>0</v>
      </c>
      <c r="AD84" s="6"/>
      <c r="AE84" s="6"/>
      <c r="AF84" s="6"/>
      <c r="AG84" s="6"/>
      <c r="AH84" s="6"/>
      <c r="AI84" s="7">
        <f t="shared" si="17"/>
        <v>36923</v>
      </c>
    </row>
    <row r="85" spans="1:35" x14ac:dyDescent="0.25">
      <c r="A85" s="3" t="s">
        <v>58</v>
      </c>
      <c r="B85" s="3"/>
      <c r="C85" s="6"/>
      <c r="D85" s="7">
        <f>9125</f>
        <v>9125</v>
      </c>
      <c r="E85" s="6"/>
      <c r="F85" s="6"/>
      <c r="G85" s="6"/>
      <c r="H85" s="6"/>
      <c r="I85" s="7">
        <f>8500</f>
        <v>8500</v>
      </c>
      <c r="J85" s="6"/>
      <c r="K85" s="6"/>
      <c r="L85" s="6"/>
      <c r="M85" s="6"/>
      <c r="N85" s="6"/>
      <c r="O85" s="6"/>
      <c r="P85" s="6"/>
      <c r="Q85" s="7">
        <f>3255</f>
        <v>3255</v>
      </c>
      <c r="R85" s="6"/>
      <c r="S85" s="7">
        <f>3167</f>
        <v>3167</v>
      </c>
      <c r="T85" s="6"/>
      <c r="U85" s="11"/>
      <c r="V85" s="11"/>
      <c r="W85" s="11"/>
      <c r="X85" s="11"/>
      <c r="Y85" s="11"/>
      <c r="Z85" s="11"/>
      <c r="AA85" s="11"/>
      <c r="AB85" s="11"/>
      <c r="AC85" s="9">
        <f t="shared" si="16"/>
        <v>0</v>
      </c>
      <c r="AD85" s="6"/>
      <c r="AE85" s="6"/>
      <c r="AF85" s="6"/>
      <c r="AG85" s="6"/>
      <c r="AH85" s="6"/>
      <c r="AI85" s="7">
        <f t="shared" si="17"/>
        <v>24047</v>
      </c>
    </row>
    <row r="86" spans="1:35" x14ac:dyDescent="0.25">
      <c r="A86" s="3" t="s">
        <v>59</v>
      </c>
      <c r="B86" s="3"/>
      <c r="C86" s="8">
        <f t="shared" ref="C86:AB86" si="18">(C84)+(C85)</f>
        <v>5650</v>
      </c>
      <c r="D86" s="8">
        <f t="shared" si="18"/>
        <v>11400</v>
      </c>
      <c r="E86" s="8">
        <f t="shared" si="18"/>
        <v>2331</v>
      </c>
      <c r="F86" s="8">
        <f t="shared" si="18"/>
        <v>20863</v>
      </c>
      <c r="G86" s="8">
        <f t="shared" si="18"/>
        <v>5714</v>
      </c>
      <c r="H86" s="8">
        <f t="shared" si="18"/>
        <v>0</v>
      </c>
      <c r="I86" s="8">
        <f t="shared" si="18"/>
        <v>8500</v>
      </c>
      <c r="J86" s="8">
        <f t="shared" si="18"/>
        <v>0</v>
      </c>
      <c r="K86" s="8">
        <f t="shared" si="18"/>
        <v>0</v>
      </c>
      <c r="L86" s="8">
        <f t="shared" si="18"/>
        <v>0</v>
      </c>
      <c r="M86" s="8">
        <f t="shared" si="18"/>
        <v>0</v>
      </c>
      <c r="N86" s="8">
        <f t="shared" si="18"/>
        <v>0</v>
      </c>
      <c r="O86" s="8">
        <f t="shared" si="18"/>
        <v>0</v>
      </c>
      <c r="P86" s="8">
        <f t="shared" si="18"/>
        <v>0</v>
      </c>
      <c r="Q86" s="8">
        <f t="shared" si="18"/>
        <v>3255</v>
      </c>
      <c r="R86" s="8">
        <f t="shared" si="18"/>
        <v>0</v>
      </c>
      <c r="S86" s="8">
        <f t="shared" si="18"/>
        <v>3167</v>
      </c>
      <c r="T86" s="8">
        <f t="shared" si="18"/>
        <v>90</v>
      </c>
      <c r="U86" s="12">
        <f t="shared" si="18"/>
        <v>0</v>
      </c>
      <c r="V86" s="12">
        <f t="shared" si="18"/>
        <v>0</v>
      </c>
      <c r="W86" s="12">
        <f t="shared" si="18"/>
        <v>0</v>
      </c>
      <c r="X86" s="12">
        <f t="shared" si="18"/>
        <v>0</v>
      </c>
      <c r="Y86" s="12">
        <f t="shared" si="18"/>
        <v>0</v>
      </c>
      <c r="Z86" s="12">
        <f t="shared" si="18"/>
        <v>0</v>
      </c>
      <c r="AA86" s="12">
        <f t="shared" si="18"/>
        <v>0</v>
      </c>
      <c r="AB86" s="12">
        <f t="shared" si="18"/>
        <v>0</v>
      </c>
      <c r="AC86" s="12">
        <f t="shared" si="16"/>
        <v>0</v>
      </c>
      <c r="AD86" s="8">
        <f>(AD84)+(AD85)</f>
        <v>0</v>
      </c>
      <c r="AE86" s="8">
        <f>(AE84)+(AE85)</f>
        <v>0</v>
      </c>
      <c r="AF86" s="8">
        <f>(AF84)+(AF85)</f>
        <v>0</v>
      </c>
      <c r="AG86" s="8">
        <f>(AG84)+(AG85)</f>
        <v>0</v>
      </c>
      <c r="AH86" s="8"/>
      <c r="AI86" s="8">
        <f t="shared" si="17"/>
        <v>60970</v>
      </c>
    </row>
    <row r="87" spans="1:35" x14ac:dyDescent="0.25">
      <c r="A87" s="3" t="s">
        <v>60</v>
      </c>
      <c r="B87" s="3"/>
      <c r="C87" s="8">
        <f t="shared" ref="C87:AB87" si="19">(C83)+(C86)</f>
        <v>5650</v>
      </c>
      <c r="D87" s="8">
        <f t="shared" si="19"/>
        <v>11400</v>
      </c>
      <c r="E87" s="8">
        <f t="shared" si="19"/>
        <v>2331</v>
      </c>
      <c r="F87" s="8">
        <f t="shared" si="19"/>
        <v>20863</v>
      </c>
      <c r="G87" s="8">
        <f t="shared" si="19"/>
        <v>5714</v>
      </c>
      <c r="H87" s="8">
        <f t="shared" si="19"/>
        <v>0</v>
      </c>
      <c r="I87" s="8">
        <f t="shared" si="19"/>
        <v>8500</v>
      </c>
      <c r="J87" s="8">
        <f t="shared" si="19"/>
        <v>0</v>
      </c>
      <c r="K87" s="8">
        <f t="shared" si="19"/>
        <v>0</v>
      </c>
      <c r="L87" s="8">
        <f t="shared" si="19"/>
        <v>0</v>
      </c>
      <c r="M87" s="8">
        <f t="shared" si="19"/>
        <v>0</v>
      </c>
      <c r="N87" s="8">
        <f t="shared" si="19"/>
        <v>0</v>
      </c>
      <c r="O87" s="8">
        <f t="shared" si="19"/>
        <v>0</v>
      </c>
      <c r="P87" s="8">
        <f t="shared" si="19"/>
        <v>0</v>
      </c>
      <c r="Q87" s="8">
        <f t="shared" si="19"/>
        <v>3255</v>
      </c>
      <c r="R87" s="8">
        <f t="shared" si="19"/>
        <v>0</v>
      </c>
      <c r="S87" s="8">
        <f t="shared" si="19"/>
        <v>3167</v>
      </c>
      <c r="T87" s="8">
        <f t="shared" si="19"/>
        <v>90</v>
      </c>
      <c r="U87" s="12">
        <f t="shared" si="19"/>
        <v>0</v>
      </c>
      <c r="V87" s="12">
        <f t="shared" si="19"/>
        <v>68.69</v>
      </c>
      <c r="W87" s="12">
        <f t="shared" si="19"/>
        <v>0</v>
      </c>
      <c r="X87" s="12">
        <f t="shared" si="19"/>
        <v>0</v>
      </c>
      <c r="Y87" s="12">
        <f t="shared" si="19"/>
        <v>0</v>
      </c>
      <c r="Z87" s="12">
        <f t="shared" si="19"/>
        <v>0</v>
      </c>
      <c r="AA87" s="12">
        <f t="shared" si="19"/>
        <v>0</v>
      </c>
      <c r="AB87" s="12">
        <f t="shared" si="19"/>
        <v>0</v>
      </c>
      <c r="AC87" s="12">
        <f t="shared" si="16"/>
        <v>68.69</v>
      </c>
      <c r="AD87" s="8">
        <f>(AD83)+(AD86)</f>
        <v>0</v>
      </c>
      <c r="AE87" s="8">
        <f>(AE83)+(AE86)</f>
        <v>0</v>
      </c>
      <c r="AF87" s="8">
        <f>(AF83)+(AF86)</f>
        <v>0</v>
      </c>
      <c r="AG87" s="8">
        <f>(AG83)+(AG86)</f>
        <v>0</v>
      </c>
      <c r="AH87" s="8"/>
      <c r="AI87" s="8">
        <f t="shared" si="17"/>
        <v>61038.69</v>
      </c>
    </row>
    <row r="88" spans="1:35" x14ac:dyDescent="0.25">
      <c r="A88" s="3" t="s">
        <v>61</v>
      </c>
      <c r="B88" s="3"/>
      <c r="C88" s="8">
        <f t="shared" ref="C88:AB88" si="20">(C87)-(0)</f>
        <v>5650</v>
      </c>
      <c r="D88" s="8">
        <f t="shared" si="20"/>
        <v>11400</v>
      </c>
      <c r="E88" s="8">
        <f t="shared" si="20"/>
        <v>2331</v>
      </c>
      <c r="F88" s="8">
        <f t="shared" si="20"/>
        <v>20863</v>
      </c>
      <c r="G88" s="8">
        <f t="shared" si="20"/>
        <v>5714</v>
      </c>
      <c r="H88" s="8">
        <f t="shared" si="20"/>
        <v>0</v>
      </c>
      <c r="I88" s="8">
        <f t="shared" si="20"/>
        <v>8500</v>
      </c>
      <c r="J88" s="8">
        <f t="shared" si="20"/>
        <v>0</v>
      </c>
      <c r="K88" s="8">
        <f t="shared" si="20"/>
        <v>0</v>
      </c>
      <c r="L88" s="8">
        <f t="shared" si="20"/>
        <v>0</v>
      </c>
      <c r="M88" s="8">
        <f t="shared" si="20"/>
        <v>0</v>
      </c>
      <c r="N88" s="8">
        <f t="shared" si="20"/>
        <v>0</v>
      </c>
      <c r="O88" s="8">
        <f t="shared" si="20"/>
        <v>0</v>
      </c>
      <c r="P88" s="8">
        <f t="shared" si="20"/>
        <v>0</v>
      </c>
      <c r="Q88" s="8">
        <f t="shared" si="20"/>
        <v>3255</v>
      </c>
      <c r="R88" s="8">
        <f t="shared" si="20"/>
        <v>0</v>
      </c>
      <c r="S88" s="8">
        <f t="shared" si="20"/>
        <v>3167</v>
      </c>
      <c r="T88" s="8">
        <f t="shared" si="20"/>
        <v>90</v>
      </c>
      <c r="U88" s="12">
        <f t="shared" si="20"/>
        <v>0</v>
      </c>
      <c r="V88" s="12">
        <f t="shared" si="20"/>
        <v>68.69</v>
      </c>
      <c r="W88" s="12">
        <f t="shared" si="20"/>
        <v>0</v>
      </c>
      <c r="X88" s="12">
        <f t="shared" si="20"/>
        <v>0</v>
      </c>
      <c r="Y88" s="12">
        <f t="shared" si="20"/>
        <v>0</v>
      </c>
      <c r="Z88" s="12">
        <f t="shared" si="20"/>
        <v>0</v>
      </c>
      <c r="AA88" s="12">
        <f t="shared" si="20"/>
        <v>0</v>
      </c>
      <c r="AB88" s="12">
        <f t="shared" si="20"/>
        <v>0</v>
      </c>
      <c r="AC88" s="12">
        <f t="shared" si="16"/>
        <v>68.69</v>
      </c>
      <c r="AD88" s="8">
        <f>(AD87)-(0)</f>
        <v>0</v>
      </c>
      <c r="AE88" s="8">
        <f>(AE87)-(0)</f>
        <v>0</v>
      </c>
      <c r="AF88" s="8">
        <f>(AF87)-(0)</f>
        <v>0</v>
      </c>
      <c r="AG88" s="8">
        <f>(AG87)-(0)</f>
        <v>0</v>
      </c>
      <c r="AH88" s="8"/>
      <c r="AI88" s="8">
        <f t="shared" si="17"/>
        <v>61038.69</v>
      </c>
    </row>
    <row r="89" spans="1:35" s="19" customFormat="1" x14ac:dyDescent="0.25">
      <c r="A89" s="16" t="s">
        <v>62</v>
      </c>
      <c r="B89" s="16"/>
      <c r="C89" s="17">
        <f t="shared" ref="C89:AB89" si="21">(C81)+(C88)</f>
        <v>2733.6499999999996</v>
      </c>
      <c r="D89" s="17">
        <f t="shared" si="21"/>
        <v>22979.95</v>
      </c>
      <c r="E89" s="17">
        <f t="shared" si="21"/>
        <v>3870.8999999999996</v>
      </c>
      <c r="F89" s="17">
        <f t="shared" si="21"/>
        <v>1492.0200000000004</v>
      </c>
      <c r="G89" s="17">
        <f t="shared" si="21"/>
        <v>-2079.25</v>
      </c>
      <c r="H89" s="17">
        <f t="shared" si="21"/>
        <v>-9000</v>
      </c>
      <c r="I89" s="17">
        <f t="shared" si="21"/>
        <v>-13969.569999999996</v>
      </c>
      <c r="J89" s="17">
        <f t="shared" si="21"/>
        <v>1440.87</v>
      </c>
      <c r="K89" s="17">
        <f t="shared" si="21"/>
        <v>-304.60000000000002</v>
      </c>
      <c r="L89" s="17">
        <f t="shared" si="21"/>
        <v>7486.1799999999994</v>
      </c>
      <c r="M89" s="17">
        <f t="shared" si="21"/>
        <v>-1805.83</v>
      </c>
      <c r="N89" s="17">
        <f t="shared" si="21"/>
        <v>2809.1099999999997</v>
      </c>
      <c r="O89" s="17">
        <f t="shared" si="21"/>
        <v>6380.1999999999989</v>
      </c>
      <c r="P89" s="17">
        <f t="shared" si="21"/>
        <v>3168.52</v>
      </c>
      <c r="Q89" s="17">
        <f t="shared" si="21"/>
        <v>2206</v>
      </c>
      <c r="R89" s="17">
        <f t="shared" si="21"/>
        <v>-580.89</v>
      </c>
      <c r="S89" s="17">
        <f t="shared" si="21"/>
        <v>-146.59000000000015</v>
      </c>
      <c r="T89" s="17">
        <f t="shared" si="21"/>
        <v>-1281.22</v>
      </c>
      <c r="U89" s="18">
        <f t="shared" si="21"/>
        <v>0</v>
      </c>
      <c r="V89" s="18">
        <f t="shared" si="21"/>
        <v>90228.739999999991</v>
      </c>
      <c r="W89" s="18">
        <f t="shared" si="21"/>
        <v>-5129.58</v>
      </c>
      <c r="X89" s="18">
        <f t="shared" si="21"/>
        <v>-1124.04</v>
      </c>
      <c r="Y89" s="18">
        <f t="shared" si="21"/>
        <v>-76.099999999999994</v>
      </c>
      <c r="Z89" s="18">
        <f t="shared" si="21"/>
        <v>-3117.6</v>
      </c>
      <c r="AA89" s="18">
        <f t="shared" si="21"/>
        <v>-146.47999999999999</v>
      </c>
      <c r="AB89" s="18">
        <f t="shared" si="21"/>
        <v>-3561.38</v>
      </c>
      <c r="AC89" s="18">
        <f t="shared" si="16"/>
        <v>77073.559999999983</v>
      </c>
      <c r="AD89" s="17">
        <f>(AD81)+(AD88)</f>
        <v>-2599.75</v>
      </c>
      <c r="AE89" s="17">
        <f>(AE81)+(AE88)</f>
        <v>-2993.48</v>
      </c>
      <c r="AF89" s="17">
        <f>(AF81)+(AF88)</f>
        <v>-5473.3200000000006</v>
      </c>
      <c r="AG89" s="17">
        <f>(AG81)+(AG88)</f>
        <v>612.30999999999949</v>
      </c>
      <c r="AH89" s="17"/>
      <c r="AI89" s="17">
        <f t="shared" si="17"/>
        <v>92018.769999999975</v>
      </c>
    </row>
    <row r="90" spans="1:35" s="2" customFormat="1" x14ac:dyDescent="0.25">
      <c r="A90" s="4"/>
      <c r="B90" s="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5"/>
      <c r="V90" s="15"/>
      <c r="W90" s="15"/>
      <c r="X90" s="15"/>
      <c r="Y90" s="15"/>
      <c r="Z90" s="15"/>
      <c r="AA90" s="15"/>
      <c r="AB90" s="15"/>
      <c r="AC90" s="15"/>
      <c r="AD90" s="14"/>
      <c r="AE90" s="14"/>
      <c r="AF90" s="14"/>
      <c r="AG90" s="14"/>
      <c r="AH90" s="14"/>
      <c r="AI90" s="14"/>
    </row>
    <row r="91" spans="1:35" s="42" customFormat="1" x14ac:dyDescent="0.25">
      <c r="A91" s="39" t="s">
        <v>121</v>
      </c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15"/>
      <c r="V91" s="15"/>
      <c r="W91" s="15"/>
      <c r="X91" s="15"/>
      <c r="Y91" s="15"/>
      <c r="Z91" s="15"/>
      <c r="AA91" s="15"/>
      <c r="AB91" s="15"/>
      <c r="AC91" s="15"/>
      <c r="AD91" s="41"/>
      <c r="AE91" s="41"/>
      <c r="AF91" s="41"/>
      <c r="AG91" s="41"/>
      <c r="AH91" s="41"/>
      <c r="AI91" s="41"/>
    </row>
    <row r="92" spans="1:35" s="37" customFormat="1" x14ac:dyDescent="0.25">
      <c r="A92" s="35" t="s">
        <v>123</v>
      </c>
      <c r="B92" s="32">
        <v>9193.2000000000007</v>
      </c>
      <c r="C92" s="32">
        <v>23417.9</v>
      </c>
      <c r="D92" s="32">
        <v>7225.64</v>
      </c>
      <c r="E92" s="32">
        <v>5385.01</v>
      </c>
      <c r="F92" s="32">
        <v>2542.7800000000002</v>
      </c>
      <c r="G92" s="32">
        <v>5470.52</v>
      </c>
      <c r="H92" s="32">
        <v>30302.06</v>
      </c>
      <c r="I92" s="32">
        <v>13969.57</v>
      </c>
      <c r="J92" s="32">
        <v>0</v>
      </c>
      <c r="K92" s="32">
        <v>3059.28</v>
      </c>
      <c r="L92" s="32">
        <v>1370.59</v>
      </c>
      <c r="M92" s="32">
        <v>9446.93</v>
      </c>
      <c r="N92" s="32">
        <v>5616.26</v>
      </c>
      <c r="O92" s="32">
        <v>633.34</v>
      </c>
      <c r="P92" s="32">
        <v>0</v>
      </c>
      <c r="Q92" s="32">
        <v>6577.25</v>
      </c>
      <c r="R92" s="32">
        <v>4012.46</v>
      </c>
      <c r="S92" s="32">
        <v>2800.07</v>
      </c>
      <c r="T92" s="32">
        <v>0</v>
      </c>
      <c r="U92" s="21"/>
      <c r="V92" s="21"/>
      <c r="W92" s="21"/>
      <c r="X92" s="21"/>
      <c r="Y92" s="21"/>
      <c r="Z92" s="21"/>
      <c r="AA92" s="21"/>
      <c r="AB92" s="21"/>
      <c r="AC92" s="21">
        <f>160703.52+80506.07</f>
        <v>241209.59</v>
      </c>
      <c r="AD92" s="32">
        <v>2684.65</v>
      </c>
      <c r="AE92" s="32">
        <v>10484.719999999999</v>
      </c>
      <c r="AF92" s="32">
        <v>12637.31</v>
      </c>
      <c r="AG92" s="32">
        <v>2459.4699999999998</v>
      </c>
      <c r="AH92" s="32">
        <v>776.06</v>
      </c>
      <c r="AI92" s="32">
        <f t="shared" ref="AI92:AI97" si="22">SUM(B92:AH92)</f>
        <v>401274.65999999992</v>
      </c>
    </row>
    <row r="93" spans="1:35" s="37" customFormat="1" ht="33.6" customHeight="1" x14ac:dyDescent="0.25">
      <c r="A93" s="35" t="s">
        <v>116</v>
      </c>
      <c r="B93" s="36">
        <f>-8193.2+1000</f>
        <v>-7193.2000000000007</v>
      </c>
      <c r="C93" s="36"/>
      <c r="D93" s="36">
        <f>8193.2-1000</f>
        <v>7193.2000000000007</v>
      </c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20"/>
      <c r="V93" s="20"/>
      <c r="W93" s="20"/>
      <c r="X93" s="20"/>
      <c r="Y93" s="20"/>
      <c r="Z93" s="20"/>
      <c r="AA93" s="20"/>
      <c r="AB93" s="20"/>
      <c r="AC93" s="20"/>
      <c r="AD93" s="36"/>
      <c r="AE93" s="36"/>
      <c r="AF93" s="36"/>
      <c r="AG93" s="36"/>
      <c r="AH93" s="36"/>
      <c r="AI93" s="32">
        <f t="shared" si="22"/>
        <v>0</v>
      </c>
    </row>
    <row r="94" spans="1:35" s="38" customFormat="1" x14ac:dyDescent="0.25">
      <c r="A94" s="35" t="s">
        <v>122</v>
      </c>
      <c r="B94" s="36">
        <v>0</v>
      </c>
      <c r="C94" s="36">
        <f>C34</f>
        <v>8876</v>
      </c>
      <c r="D94" s="36">
        <f>D34</f>
        <v>30907.8</v>
      </c>
      <c r="E94" s="36">
        <f t="shared" ref="E94:T94" si="23">E34</f>
        <v>6784.92</v>
      </c>
      <c r="F94" s="36">
        <f t="shared" si="23"/>
        <v>13879.189999999999</v>
      </c>
      <c r="G94" s="36">
        <f t="shared" si="23"/>
        <v>1500</v>
      </c>
      <c r="H94" s="36">
        <f t="shared" si="23"/>
        <v>0</v>
      </c>
      <c r="I94" s="36">
        <f t="shared" si="23"/>
        <v>3104.06</v>
      </c>
      <c r="J94" s="36">
        <f t="shared" si="23"/>
        <v>1440.87</v>
      </c>
      <c r="K94" s="36">
        <f t="shared" si="23"/>
        <v>250</v>
      </c>
      <c r="L94" s="36">
        <f t="shared" si="23"/>
        <v>9187.7999999999993</v>
      </c>
      <c r="M94" s="36">
        <f t="shared" si="23"/>
        <v>243.9</v>
      </c>
      <c r="N94" s="36">
        <f t="shared" si="23"/>
        <v>8020.8</v>
      </c>
      <c r="O94" s="36">
        <f t="shared" si="23"/>
        <v>17724.8</v>
      </c>
      <c r="P94" s="36">
        <f t="shared" si="23"/>
        <v>3168.52</v>
      </c>
      <c r="Q94" s="36">
        <f t="shared" si="23"/>
        <v>245</v>
      </c>
      <c r="R94" s="36">
        <f t="shared" si="23"/>
        <v>40</v>
      </c>
      <c r="S94" s="36">
        <f t="shared" si="23"/>
        <v>840</v>
      </c>
      <c r="T94" s="36">
        <f t="shared" si="23"/>
        <v>243.6</v>
      </c>
      <c r="U94" s="20"/>
      <c r="V94" s="20"/>
      <c r="W94" s="20"/>
      <c r="X94" s="20"/>
      <c r="Y94" s="20"/>
      <c r="Z94" s="20"/>
      <c r="AA94" s="20"/>
      <c r="AB94" s="20"/>
      <c r="AC94" s="20">
        <f>AC34+AC87</f>
        <v>110497.12</v>
      </c>
      <c r="AD94" s="36">
        <f t="shared" ref="AD94:AH94" si="24">AD34</f>
        <v>1845.92</v>
      </c>
      <c r="AE94" s="36">
        <f t="shared" si="24"/>
        <v>250</v>
      </c>
      <c r="AF94" s="36">
        <f t="shared" si="24"/>
        <v>130.29</v>
      </c>
      <c r="AG94" s="36">
        <f t="shared" si="24"/>
        <v>3071.7799999999997</v>
      </c>
      <c r="AH94" s="36">
        <f t="shared" si="24"/>
        <v>0</v>
      </c>
      <c r="AI94" s="32">
        <f t="shared" si="22"/>
        <v>222252.37000000002</v>
      </c>
    </row>
    <row r="95" spans="1:35" s="38" customFormat="1" ht="23.25" x14ac:dyDescent="0.25">
      <c r="A95" s="35" t="s">
        <v>117</v>
      </c>
      <c r="B95" s="36">
        <v>0</v>
      </c>
      <c r="C95" s="36">
        <f>C86</f>
        <v>5650</v>
      </c>
      <c r="D95" s="36">
        <f>D86</f>
        <v>11400</v>
      </c>
      <c r="E95" s="36">
        <f t="shared" ref="E95:T95" si="25">E86</f>
        <v>2331</v>
      </c>
      <c r="F95" s="36">
        <f t="shared" si="25"/>
        <v>20863</v>
      </c>
      <c r="G95" s="36">
        <f t="shared" si="25"/>
        <v>5714</v>
      </c>
      <c r="H95" s="36">
        <f t="shared" si="25"/>
        <v>0</v>
      </c>
      <c r="I95" s="36">
        <f t="shared" si="25"/>
        <v>8500</v>
      </c>
      <c r="J95" s="36">
        <f t="shared" si="25"/>
        <v>0</v>
      </c>
      <c r="K95" s="36">
        <f t="shared" si="25"/>
        <v>0</v>
      </c>
      <c r="L95" s="36">
        <f t="shared" si="25"/>
        <v>0</v>
      </c>
      <c r="M95" s="36">
        <f t="shared" si="25"/>
        <v>0</v>
      </c>
      <c r="N95" s="36">
        <f t="shared" si="25"/>
        <v>0</v>
      </c>
      <c r="O95" s="36">
        <f t="shared" si="25"/>
        <v>0</v>
      </c>
      <c r="P95" s="36">
        <f t="shared" si="25"/>
        <v>0</v>
      </c>
      <c r="Q95" s="36">
        <f t="shared" si="25"/>
        <v>3255</v>
      </c>
      <c r="R95" s="36">
        <f t="shared" si="25"/>
        <v>0</v>
      </c>
      <c r="S95" s="36">
        <f t="shared" si="25"/>
        <v>3167</v>
      </c>
      <c r="T95" s="36">
        <f t="shared" si="25"/>
        <v>90</v>
      </c>
      <c r="U95" s="20"/>
      <c r="V95" s="20"/>
      <c r="W95" s="20"/>
      <c r="X95" s="20"/>
      <c r="Y95" s="20"/>
      <c r="Z95" s="20"/>
      <c r="AA95" s="20"/>
      <c r="AB95" s="20"/>
      <c r="AC95" s="20">
        <f>AC86</f>
        <v>0</v>
      </c>
      <c r="AD95" s="36">
        <f t="shared" ref="AD95:AH95" si="26">AD86</f>
        <v>0</v>
      </c>
      <c r="AE95" s="36">
        <f t="shared" si="26"/>
        <v>0</v>
      </c>
      <c r="AF95" s="36">
        <f t="shared" si="26"/>
        <v>0</v>
      </c>
      <c r="AG95" s="36">
        <f t="shared" si="26"/>
        <v>0</v>
      </c>
      <c r="AH95" s="36">
        <f t="shared" si="26"/>
        <v>0</v>
      </c>
      <c r="AI95" s="32">
        <f t="shared" si="22"/>
        <v>60970</v>
      </c>
    </row>
    <row r="96" spans="1:35" s="24" customFormat="1" x14ac:dyDescent="0.25">
      <c r="A96" s="22" t="s">
        <v>113</v>
      </c>
      <c r="B96" s="23">
        <v>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0"/>
      <c r="V96" s="20"/>
      <c r="W96" s="20"/>
      <c r="X96" s="20"/>
      <c r="Y96" s="20"/>
      <c r="Z96" s="20"/>
      <c r="AA96" s="20"/>
      <c r="AB96" s="20"/>
      <c r="AC96" s="20">
        <f>-AC80</f>
        <v>-33423.56</v>
      </c>
      <c r="AD96" s="23">
        <v>0</v>
      </c>
      <c r="AE96" s="23">
        <v>0</v>
      </c>
      <c r="AF96" s="23">
        <v>0</v>
      </c>
      <c r="AG96" s="23">
        <v>0</v>
      </c>
      <c r="AH96" s="23">
        <v>0</v>
      </c>
      <c r="AI96" s="31">
        <f t="shared" si="22"/>
        <v>-33423.56</v>
      </c>
    </row>
    <row r="97" spans="1:35" s="34" customFormat="1" x14ac:dyDescent="0.25">
      <c r="A97" s="33" t="s">
        <v>120</v>
      </c>
      <c r="B97" s="30">
        <v>0</v>
      </c>
      <c r="C97" s="30">
        <f>-C80</f>
        <v>-11792.35</v>
      </c>
      <c r="D97" s="30">
        <f>-D80</f>
        <v>-19327.849999999999</v>
      </c>
      <c r="E97" s="30">
        <f t="shared" ref="E97:T97" si="27">-E80</f>
        <v>-5245.02</v>
      </c>
      <c r="F97" s="30">
        <f t="shared" si="27"/>
        <v>-33250.17</v>
      </c>
      <c r="G97" s="30">
        <f t="shared" si="27"/>
        <v>-9293.25</v>
      </c>
      <c r="H97" s="30">
        <f t="shared" si="27"/>
        <v>-9000</v>
      </c>
      <c r="I97" s="30">
        <f t="shared" si="27"/>
        <v>-25573.629999999997</v>
      </c>
      <c r="J97" s="30">
        <f t="shared" si="27"/>
        <v>0</v>
      </c>
      <c r="K97" s="30">
        <f t="shared" si="27"/>
        <v>-554.6</v>
      </c>
      <c r="L97" s="30">
        <f t="shared" si="27"/>
        <v>-1701.62</v>
      </c>
      <c r="M97" s="30">
        <f t="shared" si="27"/>
        <v>-2049.73</v>
      </c>
      <c r="N97" s="30">
        <f t="shared" si="27"/>
        <v>-5211.6900000000005</v>
      </c>
      <c r="O97" s="30">
        <f t="shared" si="27"/>
        <v>-11344.6</v>
      </c>
      <c r="P97" s="30">
        <f t="shared" si="27"/>
        <v>0</v>
      </c>
      <c r="Q97" s="30">
        <f t="shared" si="27"/>
        <v>-1294</v>
      </c>
      <c r="R97" s="30">
        <f t="shared" si="27"/>
        <v>-620.89</v>
      </c>
      <c r="S97" s="30">
        <f t="shared" si="27"/>
        <v>-4153.59</v>
      </c>
      <c r="T97" s="30">
        <f t="shared" si="27"/>
        <v>-1614.82</v>
      </c>
      <c r="U97" s="44"/>
      <c r="V97" s="44"/>
      <c r="W97" s="44"/>
      <c r="X97" s="44"/>
      <c r="Y97" s="44"/>
      <c r="Z97" s="44"/>
      <c r="AA97" s="44"/>
      <c r="AB97" s="44"/>
      <c r="AC97" s="44">
        <v>0</v>
      </c>
      <c r="AD97" s="30">
        <f t="shared" ref="AD97:AH97" si="28">-AD80</f>
        <v>-4445.67</v>
      </c>
      <c r="AE97" s="30">
        <f t="shared" si="28"/>
        <v>-3243.48</v>
      </c>
      <c r="AF97" s="30">
        <f t="shared" si="28"/>
        <v>-5603.6100000000006</v>
      </c>
      <c r="AG97" s="30">
        <f t="shared" si="28"/>
        <v>-2459.4700000000003</v>
      </c>
      <c r="AH97" s="30">
        <f t="shared" si="28"/>
        <v>0</v>
      </c>
      <c r="AI97" s="29">
        <f t="shared" si="22"/>
        <v>-157780.04</v>
      </c>
    </row>
    <row r="98" spans="1:35" s="38" customFormat="1" x14ac:dyDescent="0.25">
      <c r="A98" s="35" t="s">
        <v>124</v>
      </c>
      <c r="B98" s="36">
        <f>B92+B93+B94+B97</f>
        <v>2000</v>
      </c>
      <c r="C98" s="36">
        <f>SUM(C92:C97)</f>
        <v>26151.550000000003</v>
      </c>
      <c r="D98" s="36">
        <f>SUM(D92:D97)</f>
        <v>37398.79</v>
      </c>
      <c r="E98" s="36">
        <f>SUM(E92:E97)</f>
        <v>9255.91</v>
      </c>
      <c r="F98" s="36">
        <f t="shared" ref="F98:T98" si="29">SUM(F92:F97)</f>
        <v>4034.8000000000029</v>
      </c>
      <c r="G98" s="36">
        <f t="shared" si="29"/>
        <v>3391.2700000000004</v>
      </c>
      <c r="H98" s="36">
        <f t="shared" si="29"/>
        <v>21302.06</v>
      </c>
      <c r="I98" s="36">
        <f t="shared" si="29"/>
        <v>0</v>
      </c>
      <c r="J98" s="36">
        <f t="shared" si="29"/>
        <v>1440.87</v>
      </c>
      <c r="K98" s="36">
        <f t="shared" si="29"/>
        <v>2754.6800000000003</v>
      </c>
      <c r="L98" s="36">
        <f t="shared" si="29"/>
        <v>8856.77</v>
      </c>
      <c r="M98" s="36">
        <f t="shared" si="29"/>
        <v>7641.1</v>
      </c>
      <c r="N98" s="36">
        <f t="shared" si="29"/>
        <v>8425.3700000000008</v>
      </c>
      <c r="O98" s="36">
        <f t="shared" si="29"/>
        <v>7013.5399999999991</v>
      </c>
      <c r="P98" s="36">
        <f t="shared" si="29"/>
        <v>3168.52</v>
      </c>
      <c r="Q98" s="36">
        <f t="shared" si="29"/>
        <v>8783.25</v>
      </c>
      <c r="R98" s="36">
        <f t="shared" si="29"/>
        <v>3431.57</v>
      </c>
      <c r="S98" s="36">
        <f t="shared" si="29"/>
        <v>2653.4799999999996</v>
      </c>
      <c r="T98" s="36">
        <f t="shared" si="29"/>
        <v>-1281.2199999999998</v>
      </c>
      <c r="U98" s="20"/>
      <c r="V98" s="20"/>
      <c r="W98" s="20"/>
      <c r="X98" s="20"/>
      <c r="Y98" s="20"/>
      <c r="Z98" s="20"/>
      <c r="AA98" s="20"/>
      <c r="AB98" s="20"/>
      <c r="AC98" s="20">
        <f>SUM(AC92:AC97)</f>
        <v>318283.14999999997</v>
      </c>
      <c r="AD98" s="36">
        <f>SUM(AD92:AD97)</f>
        <v>84.899999999999636</v>
      </c>
      <c r="AE98" s="36">
        <f t="shared" ref="AE98" si="30">SUM(AE92:AE97)</f>
        <v>7491.24</v>
      </c>
      <c r="AF98" s="36">
        <f t="shared" ref="AF98" si="31">SUM(AF92:AF97)</f>
        <v>7163.99</v>
      </c>
      <c r="AG98" s="36">
        <f t="shared" ref="AG98" si="32">SUM(AG92:AG97)</f>
        <v>3071.7799999999997</v>
      </c>
      <c r="AH98" s="36">
        <f t="shared" ref="AH98" si="33">SUM(AH92:AH97)</f>
        <v>776.06</v>
      </c>
      <c r="AI98" s="32">
        <f>SUM(AI92:AI97)</f>
        <v>493293.42999999993</v>
      </c>
    </row>
    <row r="99" spans="1:35" s="28" customFormat="1" x14ac:dyDescent="0.25">
      <c r="A99" s="25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0"/>
      <c r="V99" s="20"/>
      <c r="W99" s="20"/>
      <c r="X99" s="20"/>
      <c r="Y99" s="20"/>
      <c r="Z99" s="20"/>
      <c r="AA99" s="20"/>
      <c r="AB99" s="20"/>
      <c r="AC99" s="20"/>
      <c r="AD99" s="26"/>
      <c r="AE99" s="26"/>
      <c r="AF99" s="26"/>
      <c r="AG99" s="26"/>
      <c r="AH99" s="26"/>
      <c r="AI99" s="27"/>
    </row>
    <row r="100" spans="1:35" s="34" customFormat="1" x14ac:dyDescent="0.25">
      <c r="A100" s="33" t="s">
        <v>118</v>
      </c>
      <c r="B100" s="30">
        <v>0</v>
      </c>
      <c r="C100" s="30"/>
      <c r="D100" s="30">
        <v>0</v>
      </c>
      <c r="E100" s="30">
        <v>0</v>
      </c>
      <c r="F100" s="30">
        <v>0</v>
      </c>
      <c r="G100" s="30"/>
      <c r="H100" s="30"/>
      <c r="I100" s="30">
        <f>-W80</f>
        <v>-5129.58</v>
      </c>
      <c r="J100" s="30"/>
      <c r="K100" s="30">
        <f>-X79</f>
        <v>-1124.04</v>
      </c>
      <c r="L100" s="30"/>
      <c r="M100" s="30">
        <f>-Y79</f>
        <v>-76.099999999999994</v>
      </c>
      <c r="N100" s="30"/>
      <c r="O100" s="30">
        <f>-Z77</f>
        <v>-3117.6</v>
      </c>
      <c r="P100" s="30">
        <f>-AA79</f>
        <v>-146.47999999999999</v>
      </c>
      <c r="Q100" s="30"/>
      <c r="R100" s="30"/>
      <c r="S100" s="30"/>
      <c r="T100" s="30"/>
      <c r="U100" s="44"/>
      <c r="V100" s="44"/>
      <c r="W100" s="44"/>
      <c r="X100" s="44"/>
      <c r="Y100" s="44"/>
      <c r="Z100" s="44"/>
      <c r="AA100" s="44"/>
      <c r="AB100" s="44"/>
      <c r="AC100" s="44"/>
      <c r="AD100" s="30"/>
      <c r="AE100" s="30"/>
      <c r="AF100" s="30"/>
      <c r="AG100" s="30">
        <f>-AB80</f>
        <v>-3561.38</v>
      </c>
      <c r="AH100" s="30"/>
      <c r="AI100" s="30">
        <f>SUM(B100:AH100)</f>
        <v>-13155.18</v>
      </c>
    </row>
    <row r="101" spans="1:35" s="24" customFormat="1" x14ac:dyDescent="0.25">
      <c r="A101" s="22" t="s">
        <v>119</v>
      </c>
      <c r="B101" s="23">
        <f>B97+B100</f>
        <v>0</v>
      </c>
      <c r="C101" s="23"/>
      <c r="D101" s="23">
        <f t="shared" ref="D101:L101" si="34">D97+D100</f>
        <v>-19327.849999999999</v>
      </c>
      <c r="E101" s="23">
        <f t="shared" si="34"/>
        <v>-5245.02</v>
      </c>
      <c r="F101" s="23">
        <f t="shared" si="34"/>
        <v>-33250.17</v>
      </c>
      <c r="G101" s="23">
        <f t="shared" si="34"/>
        <v>-9293.25</v>
      </c>
      <c r="H101" s="23">
        <f t="shared" si="34"/>
        <v>-9000</v>
      </c>
      <c r="I101" s="23">
        <f t="shared" si="34"/>
        <v>-30703.21</v>
      </c>
      <c r="J101" s="23">
        <f t="shared" si="34"/>
        <v>0</v>
      </c>
      <c r="K101" s="23">
        <f t="shared" si="34"/>
        <v>-1678.6399999999999</v>
      </c>
      <c r="L101" s="23">
        <f t="shared" si="34"/>
        <v>-1701.62</v>
      </c>
      <c r="M101" s="23">
        <f>M97+L100</f>
        <v>-2049.73</v>
      </c>
      <c r="N101" s="23">
        <f t="shared" ref="N101:T101" si="35">N97+N100</f>
        <v>-5211.6900000000005</v>
      </c>
      <c r="O101" s="23">
        <f t="shared" si="35"/>
        <v>-14462.2</v>
      </c>
      <c r="P101" s="23">
        <f t="shared" si="35"/>
        <v>-146.47999999999999</v>
      </c>
      <c r="Q101" s="23">
        <f t="shared" si="35"/>
        <v>-1294</v>
      </c>
      <c r="R101" s="23">
        <f t="shared" si="35"/>
        <v>-620.89</v>
      </c>
      <c r="S101" s="23">
        <f t="shared" si="35"/>
        <v>-4153.59</v>
      </c>
      <c r="T101" s="23">
        <f t="shared" si="35"/>
        <v>-1614.82</v>
      </c>
      <c r="U101" s="20"/>
      <c r="V101" s="20"/>
      <c r="W101" s="20"/>
      <c r="X101" s="20"/>
      <c r="Y101" s="20"/>
      <c r="Z101" s="20"/>
      <c r="AA101" s="20"/>
      <c r="AB101" s="20"/>
      <c r="AC101" s="20"/>
      <c r="AD101" s="23">
        <f t="shared" ref="AD101:AI101" si="36">AD97+AD100</f>
        <v>-4445.67</v>
      </c>
      <c r="AE101" s="23">
        <f t="shared" si="36"/>
        <v>-3243.48</v>
      </c>
      <c r="AF101" s="23">
        <f t="shared" si="36"/>
        <v>-5603.6100000000006</v>
      </c>
      <c r="AG101" s="23">
        <f t="shared" si="36"/>
        <v>-6020.85</v>
      </c>
      <c r="AH101" s="23">
        <f t="shared" si="36"/>
        <v>0</v>
      </c>
      <c r="AI101" s="23">
        <f t="shared" si="36"/>
        <v>-170935.22</v>
      </c>
    </row>
  </sheetData>
  <mergeCells count="3">
    <mergeCell ref="A1:AI1"/>
    <mergeCell ref="A2:AI2"/>
    <mergeCell ref="A3:A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of Activity by Class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Carrie</cp:lastModifiedBy>
  <dcterms:created xsi:type="dcterms:W3CDTF">2023-03-25T23:28:22Z</dcterms:created>
  <dcterms:modified xsi:type="dcterms:W3CDTF">2023-03-26T18:12:52Z</dcterms:modified>
</cp:coreProperties>
</file>