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ie\Documents\RAAB\Finance\"/>
    </mc:Choice>
  </mc:AlternateContent>
  <xr:revisionPtr revIDLastSave="0" documentId="8_{DD47BFD7-5D16-4067-A867-9FEB21E2C077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Statement of Financial Position" sheetId="3" r:id="rId1"/>
    <sheet name="Statement of Activity" sheetId="2" r:id="rId2"/>
    <sheet name="Statement of Activity by Class" sheetId="4" r:id="rId3"/>
    <sheet name="by Class - July Only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4" l="1"/>
  <c r="C44" i="4" s="1"/>
  <c r="J42" i="4"/>
  <c r="J43" i="4" s="1"/>
  <c r="J44" i="4" s="1"/>
  <c r="I42" i="4"/>
  <c r="I43" i="4" s="1"/>
  <c r="I44" i="4" s="1"/>
  <c r="H42" i="4"/>
  <c r="G42" i="4"/>
  <c r="K42" i="4" s="1"/>
  <c r="F42" i="4"/>
  <c r="F43" i="4" s="1"/>
  <c r="F44" i="4" s="1"/>
  <c r="D42" i="4"/>
  <c r="D43" i="4" s="1"/>
  <c r="D44" i="4" s="1"/>
  <c r="C42" i="4"/>
  <c r="B42" i="4"/>
  <c r="B43" i="4" s="1"/>
  <c r="K41" i="4"/>
  <c r="E41" i="4"/>
  <c r="E42" i="4" s="1"/>
  <c r="E43" i="4" s="1"/>
  <c r="E44" i="4" s="1"/>
  <c r="L40" i="4"/>
  <c r="K40" i="4"/>
  <c r="H39" i="4"/>
  <c r="H43" i="4" s="1"/>
  <c r="H44" i="4" s="1"/>
  <c r="H35" i="4"/>
  <c r="G35" i="4"/>
  <c r="E35" i="4"/>
  <c r="D35" i="4"/>
  <c r="I34" i="4"/>
  <c r="I35" i="4" s="1"/>
  <c r="K33" i="4"/>
  <c r="F33" i="4"/>
  <c r="F35" i="4" s="1"/>
  <c r="J32" i="4"/>
  <c r="J35" i="4" s="1"/>
  <c r="C32" i="4"/>
  <c r="C35" i="4" s="1"/>
  <c r="K31" i="4"/>
  <c r="B31" i="4"/>
  <c r="L31" i="4" s="1"/>
  <c r="K30" i="4"/>
  <c r="B30" i="4"/>
  <c r="L30" i="4" s="1"/>
  <c r="K29" i="4"/>
  <c r="B29" i="4"/>
  <c r="K28" i="4"/>
  <c r="L28" i="4" s="1"/>
  <c r="J27" i="4"/>
  <c r="I27" i="4"/>
  <c r="G27" i="4"/>
  <c r="E27" i="4"/>
  <c r="D27" i="4"/>
  <c r="C27" i="4"/>
  <c r="B27" i="4"/>
  <c r="K26" i="4"/>
  <c r="F26" i="4"/>
  <c r="L26" i="4" s="1"/>
  <c r="K25" i="4"/>
  <c r="F25" i="4"/>
  <c r="H24" i="4"/>
  <c r="K24" i="4" s="1"/>
  <c r="L24" i="4" s="1"/>
  <c r="K23" i="4"/>
  <c r="L23" i="4" s="1"/>
  <c r="D23" i="4"/>
  <c r="K22" i="4"/>
  <c r="L22" i="4" s="1"/>
  <c r="J21" i="4"/>
  <c r="J36" i="4" s="1"/>
  <c r="I21" i="4"/>
  <c r="G21" i="4"/>
  <c r="G36" i="4" s="1"/>
  <c r="F21" i="4"/>
  <c r="E21" i="4"/>
  <c r="D21" i="4"/>
  <c r="D36" i="4" s="1"/>
  <c r="C21" i="4"/>
  <c r="B21" i="4"/>
  <c r="K20" i="4"/>
  <c r="L20" i="4" s="1"/>
  <c r="H20" i="4"/>
  <c r="H19" i="4"/>
  <c r="K19" i="4" s="1"/>
  <c r="L19" i="4" s="1"/>
  <c r="H18" i="4"/>
  <c r="K18" i="4" s="1"/>
  <c r="L18" i="4" s="1"/>
  <c r="H17" i="4"/>
  <c r="K17" i="4" s="1"/>
  <c r="L17" i="4" s="1"/>
  <c r="K16" i="4"/>
  <c r="L16" i="4" s="1"/>
  <c r="H12" i="4"/>
  <c r="K12" i="4" s="1"/>
  <c r="L12" i="4" s="1"/>
  <c r="J11" i="4"/>
  <c r="J13" i="4" s="1"/>
  <c r="J14" i="4" s="1"/>
  <c r="I11" i="4"/>
  <c r="I13" i="4" s="1"/>
  <c r="I14" i="4" s="1"/>
  <c r="G11" i="4"/>
  <c r="G13" i="4" s="1"/>
  <c r="E11" i="4"/>
  <c r="E13" i="4" s="1"/>
  <c r="E14" i="4" s="1"/>
  <c r="D11" i="4"/>
  <c r="D13" i="4" s="1"/>
  <c r="D14" i="4" s="1"/>
  <c r="D37" i="4" s="1"/>
  <c r="D45" i="4" s="1"/>
  <c r="C11" i="4"/>
  <c r="C13" i="4" s="1"/>
  <c r="C14" i="4" s="1"/>
  <c r="B11" i="4"/>
  <c r="B13" i="4" s="1"/>
  <c r="K10" i="4"/>
  <c r="F10" i="4"/>
  <c r="H9" i="4"/>
  <c r="H11" i="4" s="1"/>
  <c r="K8" i="4"/>
  <c r="L8" i="4" s="1"/>
  <c r="H7" i="4"/>
  <c r="K7" i="4" s="1"/>
  <c r="L7" i="4" s="1"/>
  <c r="B49" i="3"/>
  <c r="B48" i="3"/>
  <c r="C48" i="3" s="1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46" i="3" s="1"/>
  <c r="B21" i="3"/>
  <c r="B20" i="3"/>
  <c r="B11" i="3"/>
  <c r="B10" i="3"/>
  <c r="B9" i="3"/>
  <c r="B47" i="3" l="1"/>
  <c r="B50" i="3" s="1"/>
  <c r="B51" i="3" s="1"/>
  <c r="E36" i="4"/>
  <c r="E37" i="4" s="1"/>
  <c r="E45" i="4" s="1"/>
  <c r="L10" i="4"/>
  <c r="B12" i="3"/>
  <c r="B13" i="3" s="1"/>
  <c r="B14" i="3" s="1"/>
  <c r="H21" i="4"/>
  <c r="C36" i="4"/>
  <c r="F27" i="4"/>
  <c r="B35" i="4"/>
  <c r="B36" i="4" s="1"/>
  <c r="G14" i="4"/>
  <c r="J37" i="4"/>
  <c r="J45" i="4" s="1"/>
  <c r="F36" i="4"/>
  <c r="B14" i="4"/>
  <c r="C37" i="4"/>
  <c r="C45" i="4" s="1"/>
  <c r="I36" i="4"/>
  <c r="I37" i="4" s="1"/>
  <c r="I45" i="4" s="1"/>
  <c r="K35" i="4"/>
  <c r="L35" i="4" s="1"/>
  <c r="B44" i="4"/>
  <c r="K11" i="4"/>
  <c r="H27" i="4"/>
  <c r="K27" i="4" s="1"/>
  <c r="L27" i="4" s="1"/>
  <c r="K34" i="4"/>
  <c r="L34" i="4" s="1"/>
  <c r="L29" i="4"/>
  <c r="K9" i="4"/>
  <c r="L9" i="4" s="1"/>
  <c r="K21" i="4"/>
  <c r="L21" i="4" s="1"/>
  <c r="K32" i="4"/>
  <c r="L41" i="4"/>
  <c r="F11" i="4"/>
  <c r="F13" i="4" s="1"/>
  <c r="F14" i="4" s="1"/>
  <c r="H13" i="4"/>
  <c r="H14" i="4" s="1"/>
  <c r="L32" i="4"/>
  <c r="G43" i="4"/>
  <c r="K39" i="4"/>
  <c r="L39" i="4" s="1"/>
  <c r="L42" i="4"/>
  <c r="L25" i="4"/>
  <c r="L33" i="4"/>
  <c r="B42" i="2"/>
  <c r="B41" i="2"/>
  <c r="B39" i="2"/>
  <c r="B34" i="2"/>
  <c r="B33" i="2"/>
  <c r="B32" i="2"/>
  <c r="B35" i="2" s="1"/>
  <c r="B31" i="2"/>
  <c r="B30" i="2"/>
  <c r="B29" i="2"/>
  <c r="B26" i="2"/>
  <c r="B25" i="2"/>
  <c r="B24" i="2"/>
  <c r="B23" i="2"/>
  <c r="B20" i="2"/>
  <c r="B19" i="2"/>
  <c r="B18" i="2"/>
  <c r="B17" i="2"/>
  <c r="B21" i="2" s="1"/>
  <c r="B12" i="2"/>
  <c r="B10" i="2"/>
  <c r="B9" i="2"/>
  <c r="B7" i="2"/>
  <c r="G7" i="1"/>
  <c r="H7" i="1"/>
  <c r="I7" i="1" s="1"/>
  <c r="H8" i="1"/>
  <c r="I8" i="1" s="1"/>
  <c r="G9" i="1"/>
  <c r="G10" i="1" s="1"/>
  <c r="G11" i="1" s="1"/>
  <c r="G12" i="1" s="1"/>
  <c r="B10" i="1"/>
  <c r="B11" i="1" s="1"/>
  <c r="B12" i="1" s="1"/>
  <c r="C10" i="1"/>
  <c r="C11" i="1" s="1"/>
  <c r="C12" i="1" s="1"/>
  <c r="D10" i="1"/>
  <c r="D11" i="1" s="1"/>
  <c r="D12" i="1" s="1"/>
  <c r="E10" i="1"/>
  <c r="E11" i="1" s="1"/>
  <c r="E12" i="1" s="1"/>
  <c r="F10" i="1"/>
  <c r="F11" i="1"/>
  <c r="F12" i="1" s="1"/>
  <c r="H14" i="1"/>
  <c r="I14" i="1" s="1"/>
  <c r="G15" i="1"/>
  <c r="G17" i="1" s="1"/>
  <c r="G29" i="1" s="1"/>
  <c r="H15" i="1"/>
  <c r="I15" i="1" s="1"/>
  <c r="G16" i="1"/>
  <c r="H16" i="1" s="1"/>
  <c r="I16" i="1" s="1"/>
  <c r="B17" i="1"/>
  <c r="C17" i="1"/>
  <c r="D17" i="1"/>
  <c r="E17" i="1"/>
  <c r="F17" i="1"/>
  <c r="H18" i="1"/>
  <c r="I18" i="1" s="1"/>
  <c r="C19" i="1"/>
  <c r="I19" i="1" s="1"/>
  <c r="H19" i="1"/>
  <c r="G20" i="1"/>
  <c r="G23" i="1" s="1"/>
  <c r="E21" i="1"/>
  <c r="I21" i="1" s="1"/>
  <c r="H21" i="1"/>
  <c r="E22" i="1"/>
  <c r="I22" i="1" s="1"/>
  <c r="H22" i="1"/>
  <c r="B23" i="1"/>
  <c r="D23" i="1"/>
  <c r="E23" i="1"/>
  <c r="F23" i="1"/>
  <c r="H24" i="1"/>
  <c r="I24" i="1"/>
  <c r="B25" i="1"/>
  <c r="I25" i="1" s="1"/>
  <c r="H25" i="1"/>
  <c r="B26" i="1"/>
  <c r="I26" i="1" s="1"/>
  <c r="H26" i="1"/>
  <c r="E27" i="1"/>
  <c r="I27" i="1" s="1"/>
  <c r="H27" i="1"/>
  <c r="B28" i="1"/>
  <c r="B29" i="1" s="1"/>
  <c r="C28" i="1"/>
  <c r="D28" i="1"/>
  <c r="E28" i="1"/>
  <c r="F28" i="1"/>
  <c r="G28" i="1"/>
  <c r="G32" i="1"/>
  <c r="H32" i="1" s="1"/>
  <c r="I32" i="1" s="1"/>
  <c r="H33" i="1"/>
  <c r="I33" i="1" s="1"/>
  <c r="D34" i="1"/>
  <c r="D35" i="1" s="1"/>
  <c r="D36" i="1" s="1"/>
  <c r="D37" i="1" s="1"/>
  <c r="H34" i="1"/>
  <c r="B35" i="1"/>
  <c r="B36" i="1" s="1"/>
  <c r="C35" i="1"/>
  <c r="C36" i="1" s="1"/>
  <c r="C37" i="1" s="1"/>
  <c r="E35" i="1"/>
  <c r="E36" i="1" s="1"/>
  <c r="E37" i="1" s="1"/>
  <c r="F35" i="1"/>
  <c r="H35" i="1" s="1"/>
  <c r="G35" i="1"/>
  <c r="I34" i="1" l="1"/>
  <c r="F29" i="1"/>
  <c r="F36" i="1"/>
  <c r="F37" i="1" s="1"/>
  <c r="H23" i="1"/>
  <c r="I23" i="1" s="1"/>
  <c r="G30" i="1"/>
  <c r="B43" i="2"/>
  <c r="B44" i="2" s="1"/>
  <c r="E29" i="1"/>
  <c r="E30" i="1" s="1"/>
  <c r="C23" i="1"/>
  <c r="C29" i="1" s="1"/>
  <c r="C30" i="1" s="1"/>
  <c r="C38" i="1" s="1"/>
  <c r="C40" i="1" s="1"/>
  <c r="H17" i="1"/>
  <c r="I17" i="1" s="1"/>
  <c r="B11" i="2"/>
  <c r="B13" i="2" s="1"/>
  <c r="B14" i="2" s="1"/>
  <c r="B27" i="2"/>
  <c r="B36" i="2" s="1"/>
  <c r="L11" i="4"/>
  <c r="G37" i="4"/>
  <c r="K14" i="4"/>
  <c r="H36" i="4"/>
  <c r="K36" i="4" s="1"/>
  <c r="L36" i="4" s="1"/>
  <c r="F37" i="4"/>
  <c r="F45" i="4" s="1"/>
  <c r="L14" i="4"/>
  <c r="B37" i="4"/>
  <c r="K13" i="4"/>
  <c r="L13" i="4" s="1"/>
  <c r="G44" i="4"/>
  <c r="K44" i="4" s="1"/>
  <c r="K43" i="4"/>
  <c r="L43" i="4" s="1"/>
  <c r="L44" i="4"/>
  <c r="F30" i="1"/>
  <c r="H12" i="1"/>
  <c r="I12" i="1" s="1"/>
  <c r="B30" i="1"/>
  <c r="H29" i="1"/>
  <c r="E38" i="1"/>
  <c r="E40" i="1" s="1"/>
  <c r="H10" i="1"/>
  <c r="I10" i="1" s="1"/>
  <c r="B37" i="1"/>
  <c r="H28" i="1"/>
  <c r="I28" i="1" s="1"/>
  <c r="G36" i="1"/>
  <c r="G37" i="1" s="1"/>
  <c r="H37" i="1" s="1"/>
  <c r="H20" i="1"/>
  <c r="I20" i="1" s="1"/>
  <c r="H11" i="1"/>
  <c r="I11" i="1" s="1"/>
  <c r="H9" i="1"/>
  <c r="I9" i="1" s="1"/>
  <c r="I35" i="1"/>
  <c r="D29" i="1"/>
  <c r="D30" i="1" s="1"/>
  <c r="D38" i="1" s="1"/>
  <c r="D40" i="1" s="1"/>
  <c r="B37" i="2" l="1"/>
  <c r="B45" i="2" s="1"/>
  <c r="I29" i="1"/>
  <c r="B45" i="4"/>
  <c r="H37" i="4"/>
  <c r="H45" i="4" s="1"/>
  <c r="K37" i="4"/>
  <c r="L37" i="4" s="1"/>
  <c r="G45" i="4"/>
  <c r="K45" i="4" s="1"/>
  <c r="B38" i="1"/>
  <c r="G38" i="1"/>
  <c r="F38" i="1"/>
  <c r="H38" i="1" s="1"/>
  <c r="H30" i="1"/>
  <c r="I30" i="1" s="1"/>
  <c r="H36" i="1"/>
  <c r="I36" i="1" s="1"/>
  <c r="I37" i="1"/>
  <c r="L45" i="4" l="1"/>
  <c r="I38" i="1"/>
  <c r="B40" i="1"/>
</calcChain>
</file>

<file path=xl/sharedStrings.xml><?xml version="1.0" encoding="utf-8"?>
<sst xmlns="http://schemas.openxmlformats.org/spreadsheetml/2006/main" count="200" uniqueCount="114">
  <si>
    <t>Baseball</t>
  </si>
  <si>
    <t>Cheer</t>
  </si>
  <si>
    <t>Cross Country</t>
  </si>
  <si>
    <t>Football</t>
  </si>
  <si>
    <t>Unrestricted - General Fund</t>
  </si>
  <si>
    <t>Administration</t>
  </si>
  <si>
    <t>Total Unrestricted - General Fund</t>
  </si>
  <si>
    <t>TOTAL</t>
  </si>
  <si>
    <t>Revenue</t>
  </si>
  <si>
    <t xml:space="preserve">   Donations</t>
  </si>
  <si>
    <t xml:space="preserve">   Fundraising Income</t>
  </si>
  <si>
    <t xml:space="preserve">      Firework Booth</t>
  </si>
  <si>
    <t xml:space="preserve">   Total Fundraising Income</t>
  </si>
  <si>
    <t>Total Revenue</t>
  </si>
  <si>
    <t>Gross Profit</t>
  </si>
  <si>
    <t>Expenditures</t>
  </si>
  <si>
    <t xml:space="preserve">   Administrative Expenses</t>
  </si>
  <si>
    <t xml:space="preserve">      Postage</t>
  </si>
  <si>
    <t xml:space="preserve">      Technology</t>
  </si>
  <si>
    <t xml:space="preserve">   Total Administrative Expenses</t>
  </si>
  <si>
    <t xml:space="preserve">   Fundraising Expenses</t>
  </si>
  <si>
    <t xml:space="preserve">      Cheer Pasta Feed</t>
  </si>
  <si>
    <t xml:space="preserve">      Fireworks Booth</t>
  </si>
  <si>
    <t xml:space="preserve">      Football camp</t>
  </si>
  <si>
    <t xml:space="preserve">      Snack Bar</t>
  </si>
  <si>
    <t xml:space="preserve">   Total Fundraising Expenses</t>
  </si>
  <si>
    <t xml:space="preserve">   Sports Team Expenses</t>
  </si>
  <si>
    <t xml:space="preserve">      Field Maintenance</t>
  </si>
  <si>
    <t xml:space="preserve">      Office supplies</t>
  </si>
  <si>
    <t xml:space="preserve">      Team Meals</t>
  </si>
  <si>
    <t xml:space="preserve">   Total Sports Team Expenses</t>
  </si>
  <si>
    <t>Total Expenditures</t>
  </si>
  <si>
    <t>Net Operating Revenue</t>
  </si>
  <si>
    <t>Other Revenue</t>
  </si>
  <si>
    <t xml:space="preserve">   Interest Income</t>
  </si>
  <si>
    <t xml:space="preserve">   Pass-Through Income</t>
  </si>
  <si>
    <t xml:space="preserve">      Player Packs</t>
  </si>
  <si>
    <t xml:space="preserve">   Total Pass-Through Income</t>
  </si>
  <si>
    <t>Total Other Revenue</t>
  </si>
  <si>
    <t>Net Other Revenue</t>
  </si>
  <si>
    <t>Net Revenue</t>
  </si>
  <si>
    <t>Saturday, Aug 27, 2022 07:29:30 PM GMT-7 - Accrual Basis</t>
  </si>
  <si>
    <t>Rio Americano Athletic Boosters, Inc.</t>
  </si>
  <si>
    <t>Statement of Activity by Class</t>
  </si>
  <si>
    <t>July 2022</t>
  </si>
  <si>
    <t>Beg Bal</t>
  </si>
  <si>
    <t>End Bal</t>
  </si>
  <si>
    <r>
      <t>Net Revenue (</t>
    </r>
    <r>
      <rPr>
        <b/>
        <sz val="8"/>
        <color rgb="FFFF0000"/>
        <rFont val="Arial"/>
        <family val="2"/>
      </rPr>
      <t>AJE SHE449</t>
    </r>
    <r>
      <rPr>
        <b/>
        <sz val="8"/>
        <color indexed="8"/>
        <rFont val="Arial"/>
      </rPr>
      <t>)</t>
    </r>
  </si>
  <si>
    <t>Statement of Activity</t>
  </si>
  <si>
    <t>June - July, 2022</t>
  </si>
  <si>
    <t>Total</t>
  </si>
  <si>
    <t xml:space="preserve">      Football Camp</t>
  </si>
  <si>
    <t xml:space="preserve">   Membership</t>
  </si>
  <si>
    <t xml:space="preserve">      Bank Charges</t>
  </si>
  <si>
    <t xml:space="preserve">      Website</t>
  </si>
  <si>
    <t xml:space="preserve">      Finger Printing Reimbursements</t>
  </si>
  <si>
    <t xml:space="preserve">      Senior gifts</t>
  </si>
  <si>
    <t xml:space="preserve">      Team Uniforms</t>
  </si>
  <si>
    <t>Saturday, Aug 27, 2022 07:30:45 PM GMT-7 - Accrual Basis</t>
  </si>
  <si>
    <t xml:space="preserve">1 month - deposits go in August to balance the XC deficit </t>
  </si>
  <si>
    <t>Statement of Financial Position</t>
  </si>
  <si>
    <t>As of July 31, 2022</t>
  </si>
  <si>
    <t>ASSETS</t>
  </si>
  <si>
    <t xml:space="preserve">   Current Assets</t>
  </si>
  <si>
    <t xml:space="preserve">      Bank Accounts</t>
  </si>
  <si>
    <t xml:space="preserve">         Bank of America Checking 2</t>
  </si>
  <si>
    <t xml:space="preserve">         BofA Savings 2</t>
  </si>
  <si>
    <t xml:space="preserve">         PayPal - RAAB</t>
  </si>
  <si>
    <t xml:space="preserve">      Total Bank Accounts</t>
  </si>
  <si>
    <t xml:space="preserve">   Total Current Assets</t>
  </si>
  <si>
    <t>TOTAL ASSETS</t>
  </si>
  <si>
    <t>LIABILITIES AND EQUITY</t>
  </si>
  <si>
    <t xml:space="preserve">   Liabilities</t>
  </si>
  <si>
    <t xml:space="preserve">   Total Liabilities</t>
  </si>
  <si>
    <t xml:space="preserve">   Equity</t>
  </si>
  <si>
    <t xml:space="preserve">      Restricted Net Assets</t>
  </si>
  <si>
    <t xml:space="preserve">         Field of Dreams</t>
  </si>
  <si>
    <t xml:space="preserve">         Jack Scott Tournament</t>
  </si>
  <si>
    <t xml:space="preserve">         Team Funds</t>
  </si>
  <si>
    <t xml:space="preserve">            Athletic Director</t>
  </si>
  <si>
    <t xml:space="preserve">            Baseball</t>
  </si>
  <si>
    <t xml:space="preserve">            Basketball - Boys</t>
  </si>
  <si>
    <t xml:space="preserve">            Basketball - Girls</t>
  </si>
  <si>
    <t xml:space="preserve">            Cheer</t>
  </si>
  <si>
    <t xml:space="preserve">            Cross Country</t>
  </si>
  <si>
    <t xml:space="preserve">            Football</t>
  </si>
  <si>
    <t xml:space="preserve">            Golf - Boys</t>
  </si>
  <si>
    <t xml:space="preserve">            Golf - Girls</t>
  </si>
  <si>
    <t xml:space="preserve">            Lacrosse - Boys</t>
  </si>
  <si>
    <t xml:space="preserve">            Lacrosse - Girls</t>
  </si>
  <si>
    <t xml:space="preserve">            Soccer - Boys</t>
  </si>
  <si>
    <t xml:space="preserve">            Soccer - Girls</t>
  </si>
  <si>
    <t xml:space="preserve">            Softball</t>
  </si>
  <si>
    <t xml:space="preserve">            Swim &amp; Dive</t>
  </si>
  <si>
    <t xml:space="preserve">            Tennis - Boys</t>
  </si>
  <si>
    <t xml:space="preserve">            Tennis - Girls</t>
  </si>
  <si>
    <t xml:space="preserve">            Track &amp; Field</t>
  </si>
  <si>
    <t xml:space="preserve">            Volleyball - Boys</t>
  </si>
  <si>
    <t xml:space="preserve">            Volleyball - Girls</t>
  </si>
  <si>
    <t xml:space="preserve">            Water Polo - Boys</t>
  </si>
  <si>
    <t xml:space="preserve">            Water Polo - Girls</t>
  </si>
  <si>
    <t xml:space="preserve">            Wrestling</t>
  </si>
  <si>
    <t xml:space="preserve">         Total Team Funds</t>
  </si>
  <si>
    <t xml:space="preserve">      Total Restricted Net Assets</t>
  </si>
  <si>
    <t xml:space="preserve">      Unrestricted Net Assets</t>
  </si>
  <si>
    <t xml:space="preserve">      Net Revenue</t>
  </si>
  <si>
    <t xml:space="preserve">   Total Equity</t>
  </si>
  <si>
    <t>TOTAL LIABILITIES AND EQUITY</t>
  </si>
  <si>
    <t>Saturday, Aug 27, 2022 07:45:33 PM GMT-7 - Accrual Basis</t>
  </si>
  <si>
    <t>Basketball - Boys</t>
  </si>
  <si>
    <t>Soccer - Girls</t>
  </si>
  <si>
    <t>Softball</t>
  </si>
  <si>
    <t>Saturday, Aug 27, 2022 07:59:25 PM GMT-7 - Accrual Basis</t>
  </si>
  <si>
    <t>Unrestricted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</si>
</sst>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12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7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164" fontId="11" fillId="0" borderId="0" xfId="0" applyNumberFormat="1" applyFont="1" applyAlignment="1">
      <alignment wrapText="1"/>
    </xf>
    <xf numFmtId="164" fontId="11" fillId="0" borderId="0" xfId="0" applyNumberFormat="1" applyFont="1" applyAlignment="1">
      <alignment horizontal="right" wrapText="1"/>
    </xf>
    <xf numFmtId="165" fontId="7" fillId="0" borderId="3" xfId="0" applyNumberFormat="1" applyFont="1" applyBorder="1" applyAlignment="1">
      <alignment horizontal="right" wrapText="1"/>
    </xf>
    <xf numFmtId="44" fontId="0" fillId="0" borderId="0" xfId="0" applyNumberFormat="1"/>
    <xf numFmtId="164" fontId="11" fillId="2" borderId="0" xfId="0" applyNumberFormat="1" applyFont="1" applyFill="1" applyAlignment="1">
      <alignment horizontal="right" wrapText="1"/>
    </xf>
    <xf numFmtId="4" fontId="0" fillId="2" borderId="0" xfId="0" applyNumberFormat="1" applyFill="1"/>
    <xf numFmtId="0" fontId="8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785E8-7E96-4C77-B30C-9D72E7BFC557}">
  <dimension ref="A1:D55"/>
  <sheetViews>
    <sheetView topLeftCell="A7" workbookViewId="0">
      <selection activeCell="E48" sqref="E48"/>
    </sheetView>
  </sheetViews>
  <sheetFormatPr defaultRowHeight="15" x14ac:dyDescent="0.25"/>
  <cols>
    <col min="1" max="2" width="32.7109375" customWidth="1"/>
    <col min="3" max="3" width="10" bestFit="1" customWidth="1"/>
  </cols>
  <sheetData>
    <row r="1" spans="1:2" ht="18" x14ac:dyDescent="0.25">
      <c r="A1" s="16" t="s">
        <v>42</v>
      </c>
      <c r="B1" s="17"/>
    </row>
    <row r="2" spans="1:2" ht="18" x14ac:dyDescent="0.25">
      <c r="A2" s="16" t="s">
        <v>60</v>
      </c>
      <c r="B2" s="17"/>
    </row>
    <row r="3" spans="1:2" x14ac:dyDescent="0.25">
      <c r="A3" s="18" t="s">
        <v>61</v>
      </c>
      <c r="B3" s="17"/>
    </row>
    <row r="5" spans="1:2" x14ac:dyDescent="0.25">
      <c r="A5" s="1"/>
      <c r="B5" s="9" t="s">
        <v>50</v>
      </c>
    </row>
    <row r="6" spans="1:2" x14ac:dyDescent="0.25">
      <c r="A6" s="8" t="s">
        <v>62</v>
      </c>
      <c r="B6" s="10"/>
    </row>
    <row r="7" spans="1:2" x14ac:dyDescent="0.25">
      <c r="A7" s="8" t="s">
        <v>63</v>
      </c>
      <c r="B7" s="10"/>
    </row>
    <row r="8" spans="1:2" x14ac:dyDescent="0.25">
      <c r="A8" s="8" t="s">
        <v>64</v>
      </c>
      <c r="B8" s="10"/>
    </row>
    <row r="9" spans="1:2" x14ac:dyDescent="0.25">
      <c r="A9" s="8" t="s">
        <v>65</v>
      </c>
      <c r="B9" s="11">
        <f>163964.24</f>
        <v>163964.24</v>
      </c>
    </row>
    <row r="10" spans="1:2" x14ac:dyDescent="0.25">
      <c r="A10" s="8" t="s">
        <v>66</v>
      </c>
      <c r="B10" s="11">
        <f>229549.96</f>
        <v>229549.96</v>
      </c>
    </row>
    <row r="11" spans="1:2" x14ac:dyDescent="0.25">
      <c r="A11" s="8" t="s">
        <v>67</v>
      </c>
      <c r="B11" s="11">
        <f>256.38</f>
        <v>256.38</v>
      </c>
    </row>
    <row r="12" spans="1:2" x14ac:dyDescent="0.25">
      <c r="A12" s="8" t="s">
        <v>68</v>
      </c>
      <c r="B12" s="12">
        <f>((B9)+(B10))+(B11)</f>
        <v>393770.57999999996</v>
      </c>
    </row>
    <row r="13" spans="1:2" x14ac:dyDescent="0.25">
      <c r="A13" s="8" t="s">
        <v>69</v>
      </c>
      <c r="B13" s="12">
        <f>B12</f>
        <v>393770.57999999996</v>
      </c>
    </row>
    <row r="14" spans="1:2" x14ac:dyDescent="0.25">
      <c r="A14" s="8" t="s">
        <v>70</v>
      </c>
      <c r="B14" s="12">
        <f>B13</f>
        <v>393770.57999999996</v>
      </c>
    </row>
    <row r="15" spans="1:2" x14ac:dyDescent="0.25">
      <c r="A15" s="8" t="s">
        <v>71</v>
      </c>
      <c r="B15" s="10"/>
    </row>
    <row r="16" spans="1:2" x14ac:dyDescent="0.25">
      <c r="A16" s="8" t="s">
        <v>72</v>
      </c>
      <c r="B16" s="10"/>
    </row>
    <row r="17" spans="1:2" x14ac:dyDescent="0.25">
      <c r="A17" s="8" t="s">
        <v>73</v>
      </c>
      <c r="B17" s="10"/>
    </row>
    <row r="18" spans="1:2" x14ac:dyDescent="0.25">
      <c r="A18" s="8" t="s">
        <v>74</v>
      </c>
      <c r="B18" s="10"/>
    </row>
    <row r="19" spans="1:2" x14ac:dyDescent="0.25">
      <c r="A19" s="8" t="s">
        <v>75</v>
      </c>
      <c r="B19" s="10"/>
    </row>
    <row r="20" spans="1:2" x14ac:dyDescent="0.25">
      <c r="A20" s="8" t="s">
        <v>76</v>
      </c>
      <c r="B20" s="11">
        <f>30302.06</f>
        <v>30302.06</v>
      </c>
    </row>
    <row r="21" spans="1:2" x14ac:dyDescent="0.25">
      <c r="A21" s="8" t="s">
        <v>77</v>
      </c>
      <c r="B21" s="11">
        <f>9193.2</f>
        <v>9193.2000000000007</v>
      </c>
    </row>
    <row r="22" spans="1:2" x14ac:dyDescent="0.25">
      <c r="A22" s="8" t="s">
        <v>78</v>
      </c>
      <c r="B22" s="10"/>
    </row>
    <row r="23" spans="1:2" x14ac:dyDescent="0.25">
      <c r="A23" s="8" t="s">
        <v>79</v>
      </c>
      <c r="B23" s="11">
        <f>0</f>
        <v>0</v>
      </c>
    </row>
    <row r="24" spans="1:2" x14ac:dyDescent="0.25">
      <c r="A24" s="8" t="s">
        <v>80</v>
      </c>
      <c r="B24" s="11">
        <f>22996.67</f>
        <v>22996.67</v>
      </c>
    </row>
    <row r="25" spans="1:2" x14ac:dyDescent="0.25">
      <c r="A25" s="8" t="s">
        <v>81</v>
      </c>
      <c r="B25" s="11">
        <f>6699.41</f>
        <v>6699.41</v>
      </c>
    </row>
    <row r="26" spans="1:2" x14ac:dyDescent="0.25">
      <c r="A26" s="8" t="s">
        <v>82</v>
      </c>
      <c r="B26" s="11">
        <f>5385.01</f>
        <v>5385.01</v>
      </c>
    </row>
    <row r="27" spans="1:2" x14ac:dyDescent="0.25">
      <c r="A27" s="8" t="s">
        <v>83</v>
      </c>
      <c r="B27" s="11">
        <f>2217.28</f>
        <v>2217.2800000000002</v>
      </c>
    </row>
    <row r="28" spans="1:2" x14ac:dyDescent="0.25">
      <c r="A28" s="8" t="s">
        <v>84</v>
      </c>
      <c r="B28" s="11">
        <f>-949.48</f>
        <v>-949.48</v>
      </c>
    </row>
    <row r="29" spans="1:2" x14ac:dyDescent="0.25">
      <c r="A29" s="8" t="s">
        <v>85</v>
      </c>
      <c r="B29" s="11">
        <f>13596.9</f>
        <v>13596.9</v>
      </c>
    </row>
    <row r="30" spans="1:2" x14ac:dyDescent="0.25">
      <c r="A30" s="8" t="s">
        <v>86</v>
      </c>
      <c r="B30" s="11">
        <f>0</f>
        <v>0</v>
      </c>
    </row>
    <row r="31" spans="1:2" x14ac:dyDescent="0.25">
      <c r="A31" s="8" t="s">
        <v>87</v>
      </c>
      <c r="B31" s="11">
        <f>3059.28</f>
        <v>3059.28</v>
      </c>
    </row>
    <row r="32" spans="1:2" x14ac:dyDescent="0.25">
      <c r="A32" s="8" t="s">
        <v>88</v>
      </c>
      <c r="B32" s="11">
        <f>1370.59</f>
        <v>1370.59</v>
      </c>
    </row>
    <row r="33" spans="1:4" x14ac:dyDescent="0.25">
      <c r="A33" s="8" t="s">
        <v>89</v>
      </c>
      <c r="B33" s="11">
        <f>9446.93</f>
        <v>9446.93</v>
      </c>
    </row>
    <row r="34" spans="1:4" x14ac:dyDescent="0.25">
      <c r="A34" s="8" t="s">
        <v>90</v>
      </c>
      <c r="B34" s="11">
        <f>5616.26</f>
        <v>5616.26</v>
      </c>
    </row>
    <row r="35" spans="1:4" x14ac:dyDescent="0.25">
      <c r="A35" s="8" t="s">
        <v>91</v>
      </c>
      <c r="B35" s="11">
        <f>633.34</f>
        <v>633.34</v>
      </c>
    </row>
    <row r="36" spans="1:4" x14ac:dyDescent="0.25">
      <c r="A36" s="8" t="s">
        <v>92</v>
      </c>
      <c r="B36" s="11">
        <f>0</f>
        <v>0</v>
      </c>
    </row>
    <row r="37" spans="1:4" x14ac:dyDescent="0.25">
      <c r="A37" s="8" t="s">
        <v>93</v>
      </c>
      <c r="B37" s="11">
        <f>6577.25</f>
        <v>6577.25</v>
      </c>
    </row>
    <row r="38" spans="1:4" x14ac:dyDescent="0.25">
      <c r="A38" s="8" t="s">
        <v>94</v>
      </c>
      <c r="B38" s="11">
        <f>4012.46</f>
        <v>4012.46</v>
      </c>
    </row>
    <row r="39" spans="1:4" x14ac:dyDescent="0.25">
      <c r="A39" s="8" t="s">
        <v>95</v>
      </c>
      <c r="B39" s="11">
        <f>2800.07</f>
        <v>2800.07</v>
      </c>
    </row>
    <row r="40" spans="1:4" x14ac:dyDescent="0.25">
      <c r="A40" s="8" t="s">
        <v>96</v>
      </c>
      <c r="B40" s="11">
        <f>0</f>
        <v>0</v>
      </c>
    </row>
    <row r="41" spans="1:4" x14ac:dyDescent="0.25">
      <c r="A41" s="8" t="s">
        <v>97</v>
      </c>
      <c r="B41" s="11">
        <f>2684.65</f>
        <v>2684.65</v>
      </c>
    </row>
    <row r="42" spans="1:4" x14ac:dyDescent="0.25">
      <c r="A42" s="8" t="s">
        <v>98</v>
      </c>
      <c r="B42" s="11">
        <f>10484.72</f>
        <v>10484.719999999999</v>
      </c>
    </row>
    <row r="43" spans="1:4" x14ac:dyDescent="0.25">
      <c r="A43" s="8" t="s">
        <v>99</v>
      </c>
      <c r="B43" s="11">
        <f>2459.47</f>
        <v>2459.4699999999998</v>
      </c>
    </row>
    <row r="44" spans="1:4" x14ac:dyDescent="0.25">
      <c r="A44" s="8" t="s">
        <v>100</v>
      </c>
      <c r="B44" s="11">
        <f>12637.31</f>
        <v>12637.31</v>
      </c>
    </row>
    <row r="45" spans="1:4" x14ac:dyDescent="0.25">
      <c r="A45" s="8" t="s">
        <v>101</v>
      </c>
      <c r="B45" s="11">
        <f>776.06</f>
        <v>776.06</v>
      </c>
    </row>
    <row r="46" spans="1:4" x14ac:dyDescent="0.25">
      <c r="A46" s="8" t="s">
        <v>102</v>
      </c>
      <c r="B46" s="12">
        <f>(((((((((((((((((((((((B22)+(B23))+(B24))+(B25))+(B26))+(B27))+(B28))+(B29))+(B30))+(B31))+(B32))+(B33))+(B34))+(B35))+(B36))+(B37))+(B38))+(B39))+(B40))+(B41))+(B42))+(B43))+(B44))+(B45)</f>
        <v>112504.18</v>
      </c>
    </row>
    <row r="47" spans="1:4" x14ac:dyDescent="0.25">
      <c r="A47" s="8" t="s">
        <v>103</v>
      </c>
      <c r="B47" s="12">
        <f>(((B19)+(B20))+(B21))+(B46)</f>
        <v>151999.44</v>
      </c>
    </row>
    <row r="48" spans="1:4" x14ac:dyDescent="0.25">
      <c r="A48" s="8" t="s">
        <v>104</v>
      </c>
      <c r="B48" s="14">
        <f>249275.22</f>
        <v>249275.22</v>
      </c>
      <c r="C48" s="15">
        <f>B48+B49</f>
        <v>241771.14</v>
      </c>
      <c r="D48" t="s">
        <v>113</v>
      </c>
    </row>
    <row r="49" spans="1:2" x14ac:dyDescent="0.25">
      <c r="A49" s="8" t="s">
        <v>105</v>
      </c>
      <c r="B49" s="14">
        <f>-7504.08</f>
        <v>-7504.08</v>
      </c>
    </row>
    <row r="50" spans="1:2" x14ac:dyDescent="0.25">
      <c r="A50" s="8" t="s">
        <v>106</v>
      </c>
      <c r="B50" s="12">
        <f>((B47)+(B48))+(B49)</f>
        <v>393770.58</v>
      </c>
    </row>
    <row r="51" spans="1:2" x14ac:dyDescent="0.25">
      <c r="A51" s="8" t="s">
        <v>107</v>
      </c>
      <c r="B51" s="12">
        <f>(B17)+(B50)</f>
        <v>393770.58</v>
      </c>
    </row>
    <row r="52" spans="1:2" x14ac:dyDescent="0.25">
      <c r="A52" s="8"/>
      <c r="B52" s="10"/>
    </row>
    <row r="55" spans="1:2" x14ac:dyDescent="0.25">
      <c r="A55" s="19" t="s">
        <v>108</v>
      </c>
      <c r="B55" s="17"/>
    </row>
  </sheetData>
  <mergeCells count="4">
    <mergeCell ref="A1:B1"/>
    <mergeCell ref="A2:B2"/>
    <mergeCell ref="A3:B3"/>
    <mergeCell ref="A55:B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9F1ED-5D7D-4712-A81F-CFE05C05B9B1}">
  <dimension ref="A1:B49"/>
  <sheetViews>
    <sheetView workbookViewId="0">
      <selection activeCell="B52" sqref="B52"/>
    </sheetView>
  </sheetViews>
  <sheetFormatPr defaultRowHeight="15" x14ac:dyDescent="0.25"/>
  <cols>
    <col min="1" max="2" width="32.7109375" customWidth="1"/>
  </cols>
  <sheetData>
    <row r="1" spans="1:2" ht="18" x14ac:dyDescent="0.25">
      <c r="A1" s="16" t="s">
        <v>42</v>
      </c>
      <c r="B1" s="17"/>
    </row>
    <row r="2" spans="1:2" ht="18" x14ac:dyDescent="0.25">
      <c r="A2" s="16" t="s">
        <v>48</v>
      </c>
      <c r="B2" s="17"/>
    </row>
    <row r="3" spans="1:2" x14ac:dyDescent="0.25">
      <c r="A3" s="18" t="s">
        <v>49</v>
      </c>
      <c r="B3" s="17"/>
    </row>
    <row r="5" spans="1:2" x14ac:dyDescent="0.25">
      <c r="A5" s="1"/>
      <c r="B5" s="9" t="s">
        <v>50</v>
      </c>
    </row>
    <row r="6" spans="1:2" x14ac:dyDescent="0.25">
      <c r="A6" s="8" t="s">
        <v>8</v>
      </c>
      <c r="B6" s="10"/>
    </row>
    <row r="7" spans="1:2" x14ac:dyDescent="0.25">
      <c r="A7" s="8" t="s">
        <v>9</v>
      </c>
      <c r="B7" s="11">
        <f>354.46</f>
        <v>354.46</v>
      </c>
    </row>
    <row r="8" spans="1:2" x14ac:dyDescent="0.25">
      <c r="A8" s="8" t="s">
        <v>10</v>
      </c>
      <c r="B8" s="10"/>
    </row>
    <row r="9" spans="1:2" x14ac:dyDescent="0.25">
      <c r="A9" s="8" t="s">
        <v>11</v>
      </c>
      <c r="B9" s="11">
        <f>14405</f>
        <v>14405</v>
      </c>
    </row>
    <row r="10" spans="1:2" x14ac:dyDescent="0.25">
      <c r="A10" s="8" t="s">
        <v>51</v>
      </c>
      <c r="B10" s="11">
        <f>144.06</f>
        <v>144.06</v>
      </c>
    </row>
    <row r="11" spans="1:2" x14ac:dyDescent="0.25">
      <c r="A11" s="8" t="s">
        <v>12</v>
      </c>
      <c r="B11" s="12">
        <f>((B8)+(B9))+(B10)</f>
        <v>14549.06</v>
      </c>
    </row>
    <row r="12" spans="1:2" x14ac:dyDescent="0.25">
      <c r="A12" s="8" t="s">
        <v>52</v>
      </c>
      <c r="B12" s="11">
        <f>110</f>
        <v>110</v>
      </c>
    </row>
    <row r="13" spans="1:2" x14ac:dyDescent="0.25">
      <c r="A13" s="8" t="s">
        <v>13</v>
      </c>
      <c r="B13" s="12">
        <f>((B7)+(B11))+(B12)</f>
        <v>15013.519999999999</v>
      </c>
    </row>
    <row r="14" spans="1:2" x14ac:dyDescent="0.25">
      <c r="A14" s="8" t="s">
        <v>14</v>
      </c>
      <c r="B14" s="12">
        <f>(B13)-(0)</f>
        <v>15013.519999999999</v>
      </c>
    </row>
    <row r="15" spans="1:2" x14ac:dyDescent="0.25">
      <c r="A15" s="8" t="s">
        <v>15</v>
      </c>
      <c r="B15" s="10"/>
    </row>
    <row r="16" spans="1:2" x14ac:dyDescent="0.25">
      <c r="A16" s="8" t="s">
        <v>16</v>
      </c>
      <c r="B16" s="10"/>
    </row>
    <row r="17" spans="1:2" x14ac:dyDescent="0.25">
      <c r="A17" s="8" t="s">
        <v>53</v>
      </c>
      <c r="B17" s="11">
        <f>2.68</f>
        <v>2.68</v>
      </c>
    </row>
    <row r="18" spans="1:2" x14ac:dyDescent="0.25">
      <c r="A18" s="8" t="s">
        <v>17</v>
      </c>
      <c r="B18" s="11">
        <f>60</f>
        <v>60</v>
      </c>
    </row>
    <row r="19" spans="1:2" x14ac:dyDescent="0.25">
      <c r="A19" s="8" t="s">
        <v>18</v>
      </c>
      <c r="B19" s="11">
        <f>160</f>
        <v>160</v>
      </c>
    </row>
    <row r="20" spans="1:2" x14ac:dyDescent="0.25">
      <c r="A20" s="8" t="s">
        <v>54</v>
      </c>
      <c r="B20" s="11">
        <f>1300</f>
        <v>1300</v>
      </c>
    </row>
    <row r="21" spans="1:2" x14ac:dyDescent="0.25">
      <c r="A21" s="8" t="s">
        <v>19</v>
      </c>
      <c r="B21" s="12">
        <f>((((B16)+(B17))+(B18))+(B19))+(B20)</f>
        <v>1522.68</v>
      </c>
    </row>
    <row r="22" spans="1:2" x14ac:dyDescent="0.25">
      <c r="A22" s="8" t="s">
        <v>20</v>
      </c>
      <c r="B22" s="10"/>
    </row>
    <row r="23" spans="1:2" x14ac:dyDescent="0.25">
      <c r="A23" s="8" t="s">
        <v>21</v>
      </c>
      <c r="B23" s="11">
        <f>325.5</f>
        <v>325.5</v>
      </c>
    </row>
    <row r="24" spans="1:2" x14ac:dyDescent="0.25">
      <c r="A24" s="8" t="s">
        <v>22</v>
      </c>
      <c r="B24" s="11">
        <f>9536.5</f>
        <v>9536.5</v>
      </c>
    </row>
    <row r="25" spans="1:2" x14ac:dyDescent="0.25">
      <c r="A25" s="8" t="s">
        <v>23</v>
      </c>
      <c r="B25" s="11">
        <f>162.31</f>
        <v>162.31</v>
      </c>
    </row>
    <row r="26" spans="1:2" x14ac:dyDescent="0.25">
      <c r="A26" s="8" t="s">
        <v>24</v>
      </c>
      <c r="B26" s="11">
        <f>79.98</f>
        <v>79.98</v>
      </c>
    </row>
    <row r="27" spans="1:2" x14ac:dyDescent="0.25">
      <c r="A27" s="8" t="s">
        <v>25</v>
      </c>
      <c r="B27" s="12">
        <f>((((B22)+(B23))+(B24))+(B25))+(B26)</f>
        <v>10104.289999999999</v>
      </c>
    </row>
    <row r="28" spans="1:2" x14ac:dyDescent="0.25">
      <c r="A28" s="8" t="s">
        <v>26</v>
      </c>
      <c r="B28" s="10"/>
    </row>
    <row r="29" spans="1:2" x14ac:dyDescent="0.25">
      <c r="A29" s="8" t="s">
        <v>27</v>
      </c>
      <c r="B29" s="11">
        <f>301.76</f>
        <v>301.76</v>
      </c>
    </row>
    <row r="30" spans="1:2" x14ac:dyDescent="0.25">
      <c r="A30" s="8" t="s">
        <v>55</v>
      </c>
      <c r="B30" s="11">
        <f>85</f>
        <v>85</v>
      </c>
    </row>
    <row r="31" spans="1:2" x14ac:dyDescent="0.25">
      <c r="A31" s="8" t="s">
        <v>28</v>
      </c>
      <c r="B31" s="11">
        <f>34.47</f>
        <v>34.47</v>
      </c>
    </row>
    <row r="32" spans="1:2" x14ac:dyDescent="0.25">
      <c r="A32" s="8" t="s">
        <v>56</v>
      </c>
      <c r="B32" s="11">
        <f>672.71</f>
        <v>672.71</v>
      </c>
    </row>
    <row r="33" spans="1:2" x14ac:dyDescent="0.25">
      <c r="A33" s="8" t="s">
        <v>29</v>
      </c>
      <c r="B33" s="11">
        <f>274.44</f>
        <v>274.44</v>
      </c>
    </row>
    <row r="34" spans="1:2" x14ac:dyDescent="0.25">
      <c r="A34" s="8" t="s">
        <v>57</v>
      </c>
      <c r="B34" s="11">
        <f>3117.6</f>
        <v>3117.6</v>
      </c>
    </row>
    <row r="35" spans="1:2" x14ac:dyDescent="0.25">
      <c r="A35" s="8" t="s">
        <v>30</v>
      </c>
      <c r="B35" s="12">
        <f>((((((B28)+(B29))+(B30))+(B31))+(B32))+(B33))+(B34)</f>
        <v>4485.9799999999996</v>
      </c>
    </row>
    <row r="36" spans="1:2" x14ac:dyDescent="0.25">
      <c r="A36" s="8" t="s">
        <v>31</v>
      </c>
      <c r="B36" s="12">
        <f>((B21)+(B27))+(B35)</f>
        <v>16112.949999999999</v>
      </c>
    </row>
    <row r="37" spans="1:2" x14ac:dyDescent="0.25">
      <c r="A37" s="8" t="s">
        <v>32</v>
      </c>
      <c r="B37" s="12">
        <f>(B14)-(B36)</f>
        <v>-1099.4300000000003</v>
      </c>
    </row>
    <row r="38" spans="1:2" x14ac:dyDescent="0.25">
      <c r="A38" s="8" t="s">
        <v>33</v>
      </c>
      <c r="B38" s="10"/>
    </row>
    <row r="39" spans="1:2" x14ac:dyDescent="0.25">
      <c r="A39" s="8" t="s">
        <v>34</v>
      </c>
      <c r="B39" s="11">
        <f>15.35</f>
        <v>15.35</v>
      </c>
    </row>
    <row r="40" spans="1:2" x14ac:dyDescent="0.25">
      <c r="A40" s="8" t="s">
        <v>35</v>
      </c>
      <c r="B40" s="10"/>
    </row>
    <row r="41" spans="1:2" x14ac:dyDescent="0.25">
      <c r="A41" s="8" t="s">
        <v>36</v>
      </c>
      <c r="B41" s="11">
        <f>-6420</f>
        <v>-6420</v>
      </c>
    </row>
    <row r="42" spans="1:2" x14ac:dyDescent="0.25">
      <c r="A42" s="8" t="s">
        <v>37</v>
      </c>
      <c r="B42" s="12">
        <f>(B40)+(B41)</f>
        <v>-6420</v>
      </c>
    </row>
    <row r="43" spans="1:2" x14ac:dyDescent="0.25">
      <c r="A43" s="8" t="s">
        <v>38</v>
      </c>
      <c r="B43" s="12">
        <f>(B39)+(B42)</f>
        <v>-6404.65</v>
      </c>
    </row>
    <row r="44" spans="1:2" x14ac:dyDescent="0.25">
      <c r="A44" s="8" t="s">
        <v>39</v>
      </c>
      <c r="B44" s="12">
        <f>(B43)-(0)</f>
        <v>-6404.65</v>
      </c>
    </row>
    <row r="45" spans="1:2" x14ac:dyDescent="0.25">
      <c r="A45" s="8" t="s">
        <v>40</v>
      </c>
      <c r="B45" s="12">
        <f>(B37)+(B44)</f>
        <v>-7504.08</v>
      </c>
    </row>
    <row r="46" spans="1:2" x14ac:dyDescent="0.25">
      <c r="A46" s="8"/>
      <c r="B46" s="10"/>
    </row>
    <row r="49" spans="1:2" x14ac:dyDescent="0.25">
      <c r="A49" s="19" t="s">
        <v>58</v>
      </c>
      <c r="B49" s="17"/>
    </row>
  </sheetData>
  <mergeCells count="4">
    <mergeCell ref="A1:B1"/>
    <mergeCell ref="A2:B2"/>
    <mergeCell ref="A3:B3"/>
    <mergeCell ref="A49:B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5740F-0A6A-40CE-ADFB-9C75F0505D7A}">
  <dimension ref="A1:L49"/>
  <sheetViews>
    <sheetView workbookViewId="0">
      <selection sqref="A1:XFD1048576"/>
    </sheetView>
  </sheetViews>
  <sheetFormatPr defaultRowHeight="15" x14ac:dyDescent="0.25"/>
  <cols>
    <col min="1" max="1" width="31.7109375" customWidth="1"/>
    <col min="2" max="4" width="8.5703125" customWidth="1"/>
    <col min="5" max="5" width="10.28515625" customWidth="1"/>
    <col min="6" max="6" width="8.5703125" customWidth="1"/>
    <col min="7" max="7" width="7.7109375" customWidth="1"/>
    <col min="8" max="8" width="9.42578125" customWidth="1"/>
    <col min="9" max="9" width="10.28515625" customWidth="1"/>
    <col min="10" max="10" width="8.5703125" customWidth="1"/>
    <col min="11" max="11" width="9.42578125" customWidth="1"/>
    <col min="12" max="12" width="10.28515625" customWidth="1"/>
  </cols>
  <sheetData>
    <row r="1" spans="1:12" ht="18" x14ac:dyDescent="0.25">
      <c r="A1" s="16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x14ac:dyDescent="0.25">
      <c r="A2" s="16" t="s">
        <v>43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A3" s="18" t="s">
        <v>49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5" spans="1:12" ht="60.75" x14ac:dyDescent="0.25">
      <c r="A5" s="1"/>
      <c r="B5" s="9" t="s">
        <v>0</v>
      </c>
      <c r="C5" s="9" t="s">
        <v>109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110</v>
      </c>
      <c r="J5" s="9" t="s">
        <v>111</v>
      </c>
      <c r="K5" s="9" t="s">
        <v>6</v>
      </c>
      <c r="L5" s="9" t="s">
        <v>7</v>
      </c>
    </row>
    <row r="6" spans="1:12" x14ac:dyDescent="0.25">
      <c r="A6" s="8" t="s">
        <v>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25">
      <c r="A7" s="8" t="s">
        <v>9</v>
      </c>
      <c r="B7" s="10"/>
      <c r="C7" s="10"/>
      <c r="D7" s="10"/>
      <c r="E7" s="10"/>
      <c r="F7" s="10"/>
      <c r="G7" s="10"/>
      <c r="H7" s="11">
        <f>354.46</f>
        <v>354.46</v>
      </c>
      <c r="I7" s="10"/>
      <c r="J7" s="10"/>
      <c r="K7" s="11">
        <f t="shared" ref="K7:K14" si="0">(((G7)+(H7))+(I7))+(J7)</f>
        <v>354.46</v>
      </c>
      <c r="L7" s="11">
        <f t="shared" ref="L7:L14" si="1">(((((B7)+(C7))+(D7))+(E7))+(F7))+(K7)</f>
        <v>354.46</v>
      </c>
    </row>
    <row r="8" spans="1:12" x14ac:dyDescent="0.25">
      <c r="A8" s="8" t="s">
        <v>10</v>
      </c>
      <c r="B8" s="10"/>
      <c r="C8" s="10"/>
      <c r="D8" s="10"/>
      <c r="E8" s="10"/>
      <c r="F8" s="10"/>
      <c r="G8" s="10"/>
      <c r="H8" s="10"/>
      <c r="I8" s="10"/>
      <c r="J8" s="10"/>
      <c r="K8" s="11">
        <f t="shared" si="0"/>
        <v>0</v>
      </c>
      <c r="L8" s="11">
        <f t="shared" si="1"/>
        <v>0</v>
      </c>
    </row>
    <row r="9" spans="1:12" x14ac:dyDescent="0.25">
      <c r="A9" s="8" t="s">
        <v>11</v>
      </c>
      <c r="B9" s="10"/>
      <c r="C9" s="10"/>
      <c r="D9" s="10"/>
      <c r="E9" s="10"/>
      <c r="F9" s="10"/>
      <c r="G9" s="10"/>
      <c r="H9" s="11">
        <f>14405</f>
        <v>14405</v>
      </c>
      <c r="I9" s="10"/>
      <c r="J9" s="10"/>
      <c r="K9" s="11">
        <f t="shared" si="0"/>
        <v>14405</v>
      </c>
      <c r="L9" s="11">
        <f t="shared" si="1"/>
        <v>14405</v>
      </c>
    </row>
    <row r="10" spans="1:12" x14ac:dyDescent="0.25">
      <c r="A10" s="8" t="s">
        <v>51</v>
      </c>
      <c r="B10" s="10"/>
      <c r="C10" s="10"/>
      <c r="D10" s="10"/>
      <c r="E10" s="10"/>
      <c r="F10" s="11">
        <f>144.06</f>
        <v>144.06</v>
      </c>
      <c r="G10" s="10"/>
      <c r="H10" s="10"/>
      <c r="I10" s="10"/>
      <c r="J10" s="10"/>
      <c r="K10" s="11">
        <f t="shared" si="0"/>
        <v>0</v>
      </c>
      <c r="L10" s="11">
        <f t="shared" si="1"/>
        <v>144.06</v>
      </c>
    </row>
    <row r="11" spans="1:12" x14ac:dyDescent="0.25">
      <c r="A11" s="8" t="s">
        <v>12</v>
      </c>
      <c r="B11" s="12">
        <f t="shared" ref="B11:J11" si="2">((B8)+(B9))+(B10)</f>
        <v>0</v>
      </c>
      <c r="C11" s="12">
        <f t="shared" si="2"/>
        <v>0</v>
      </c>
      <c r="D11" s="12">
        <f t="shared" si="2"/>
        <v>0</v>
      </c>
      <c r="E11" s="12">
        <f t="shared" si="2"/>
        <v>0</v>
      </c>
      <c r="F11" s="12">
        <f t="shared" si="2"/>
        <v>144.06</v>
      </c>
      <c r="G11" s="12">
        <f t="shared" si="2"/>
        <v>0</v>
      </c>
      <c r="H11" s="12">
        <f t="shared" si="2"/>
        <v>14405</v>
      </c>
      <c r="I11" s="12">
        <f t="shared" si="2"/>
        <v>0</v>
      </c>
      <c r="J11" s="12">
        <f t="shared" si="2"/>
        <v>0</v>
      </c>
      <c r="K11" s="12">
        <f t="shared" si="0"/>
        <v>14405</v>
      </c>
      <c r="L11" s="12">
        <f t="shared" si="1"/>
        <v>14549.06</v>
      </c>
    </row>
    <row r="12" spans="1:12" x14ac:dyDescent="0.25">
      <c r="A12" s="8" t="s">
        <v>52</v>
      </c>
      <c r="B12" s="10"/>
      <c r="C12" s="10"/>
      <c r="D12" s="10"/>
      <c r="E12" s="10"/>
      <c r="F12" s="10"/>
      <c r="G12" s="10"/>
      <c r="H12" s="11">
        <f>110</f>
        <v>110</v>
      </c>
      <c r="I12" s="10"/>
      <c r="J12" s="10"/>
      <c r="K12" s="11">
        <f t="shared" si="0"/>
        <v>110</v>
      </c>
      <c r="L12" s="11">
        <f t="shared" si="1"/>
        <v>110</v>
      </c>
    </row>
    <row r="13" spans="1:12" x14ac:dyDescent="0.25">
      <c r="A13" s="8" t="s">
        <v>13</v>
      </c>
      <c r="B13" s="12">
        <f t="shared" ref="B13:J13" si="3">((B7)+(B11))+(B12)</f>
        <v>0</v>
      </c>
      <c r="C13" s="12">
        <f t="shared" si="3"/>
        <v>0</v>
      </c>
      <c r="D13" s="12">
        <f t="shared" si="3"/>
        <v>0</v>
      </c>
      <c r="E13" s="12">
        <f t="shared" si="3"/>
        <v>0</v>
      </c>
      <c r="F13" s="12">
        <f t="shared" si="3"/>
        <v>144.06</v>
      </c>
      <c r="G13" s="12">
        <f t="shared" si="3"/>
        <v>0</v>
      </c>
      <c r="H13" s="12">
        <f t="shared" si="3"/>
        <v>14869.46</v>
      </c>
      <c r="I13" s="12">
        <f t="shared" si="3"/>
        <v>0</v>
      </c>
      <c r="J13" s="12">
        <f t="shared" si="3"/>
        <v>0</v>
      </c>
      <c r="K13" s="12">
        <f t="shared" si="0"/>
        <v>14869.46</v>
      </c>
      <c r="L13" s="12">
        <f t="shared" si="1"/>
        <v>15013.519999999999</v>
      </c>
    </row>
    <row r="14" spans="1:12" x14ac:dyDescent="0.25">
      <c r="A14" s="8" t="s">
        <v>14</v>
      </c>
      <c r="B14" s="12">
        <f t="shared" ref="B14:J14" si="4">(B13)-(0)</f>
        <v>0</v>
      </c>
      <c r="C14" s="12">
        <f t="shared" si="4"/>
        <v>0</v>
      </c>
      <c r="D14" s="12">
        <f t="shared" si="4"/>
        <v>0</v>
      </c>
      <c r="E14" s="12">
        <f t="shared" si="4"/>
        <v>0</v>
      </c>
      <c r="F14" s="12">
        <f t="shared" si="4"/>
        <v>144.06</v>
      </c>
      <c r="G14" s="12">
        <f t="shared" si="4"/>
        <v>0</v>
      </c>
      <c r="H14" s="12">
        <f t="shared" si="4"/>
        <v>14869.46</v>
      </c>
      <c r="I14" s="12">
        <f t="shared" si="4"/>
        <v>0</v>
      </c>
      <c r="J14" s="12">
        <f t="shared" si="4"/>
        <v>0</v>
      </c>
      <c r="K14" s="12">
        <f t="shared" si="0"/>
        <v>14869.46</v>
      </c>
      <c r="L14" s="12">
        <f t="shared" si="1"/>
        <v>15013.519999999999</v>
      </c>
    </row>
    <row r="15" spans="1:12" x14ac:dyDescent="0.25">
      <c r="A15" s="8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x14ac:dyDescent="0.25">
      <c r="A16" s="8" t="s">
        <v>16</v>
      </c>
      <c r="B16" s="10"/>
      <c r="C16" s="10"/>
      <c r="D16" s="10"/>
      <c r="E16" s="10"/>
      <c r="F16" s="10"/>
      <c r="G16" s="10"/>
      <c r="H16" s="10"/>
      <c r="I16" s="10"/>
      <c r="J16" s="10"/>
      <c r="K16" s="11">
        <f t="shared" ref="K16:K37" si="5">(((G16)+(H16))+(I16))+(J16)</f>
        <v>0</v>
      </c>
      <c r="L16" s="11">
        <f t="shared" ref="L16:L37" si="6">(((((B16)+(C16))+(D16))+(E16))+(F16))+(K16)</f>
        <v>0</v>
      </c>
    </row>
    <row r="17" spans="1:12" x14ac:dyDescent="0.25">
      <c r="A17" s="8" t="s">
        <v>53</v>
      </c>
      <c r="B17" s="10"/>
      <c r="C17" s="10"/>
      <c r="D17" s="10"/>
      <c r="E17" s="10"/>
      <c r="F17" s="10"/>
      <c r="G17" s="10"/>
      <c r="H17" s="11">
        <f>2.68</f>
        <v>2.68</v>
      </c>
      <c r="I17" s="10"/>
      <c r="J17" s="10"/>
      <c r="K17" s="11">
        <f t="shared" si="5"/>
        <v>2.68</v>
      </c>
      <c r="L17" s="11">
        <f t="shared" si="6"/>
        <v>2.68</v>
      </c>
    </row>
    <row r="18" spans="1:12" x14ac:dyDescent="0.25">
      <c r="A18" s="8" t="s">
        <v>17</v>
      </c>
      <c r="B18" s="10"/>
      <c r="C18" s="10"/>
      <c r="D18" s="10"/>
      <c r="E18" s="10"/>
      <c r="F18" s="10"/>
      <c r="G18" s="10"/>
      <c r="H18" s="11">
        <f>60</f>
        <v>60</v>
      </c>
      <c r="I18" s="10"/>
      <c r="J18" s="10"/>
      <c r="K18" s="11">
        <f t="shared" si="5"/>
        <v>60</v>
      </c>
      <c r="L18" s="11">
        <f t="shared" si="6"/>
        <v>60</v>
      </c>
    </row>
    <row r="19" spans="1:12" x14ac:dyDescent="0.25">
      <c r="A19" s="8" t="s">
        <v>18</v>
      </c>
      <c r="B19" s="10"/>
      <c r="C19" s="10"/>
      <c r="D19" s="10"/>
      <c r="E19" s="10"/>
      <c r="F19" s="10"/>
      <c r="G19" s="10"/>
      <c r="H19" s="11">
        <f>160</f>
        <v>160</v>
      </c>
      <c r="I19" s="10"/>
      <c r="J19" s="10"/>
      <c r="K19" s="11">
        <f t="shared" si="5"/>
        <v>160</v>
      </c>
      <c r="L19" s="11">
        <f t="shared" si="6"/>
        <v>160</v>
      </c>
    </row>
    <row r="20" spans="1:12" x14ac:dyDescent="0.25">
      <c r="A20" s="8" t="s">
        <v>54</v>
      </c>
      <c r="B20" s="10"/>
      <c r="C20" s="10"/>
      <c r="D20" s="10"/>
      <c r="E20" s="10"/>
      <c r="F20" s="10"/>
      <c r="G20" s="10"/>
      <c r="H20" s="11">
        <f>1300</f>
        <v>1300</v>
      </c>
      <c r="I20" s="10"/>
      <c r="J20" s="10"/>
      <c r="K20" s="11">
        <f t="shared" si="5"/>
        <v>1300</v>
      </c>
      <c r="L20" s="11">
        <f t="shared" si="6"/>
        <v>1300</v>
      </c>
    </row>
    <row r="21" spans="1:12" x14ac:dyDescent="0.25">
      <c r="A21" s="8" t="s">
        <v>19</v>
      </c>
      <c r="B21" s="12">
        <f t="shared" ref="B21:J21" si="7">((((B16)+(B17))+(B18))+(B19))+(B20)</f>
        <v>0</v>
      </c>
      <c r="C21" s="12">
        <f t="shared" si="7"/>
        <v>0</v>
      </c>
      <c r="D21" s="12">
        <f t="shared" si="7"/>
        <v>0</v>
      </c>
      <c r="E21" s="12">
        <f t="shared" si="7"/>
        <v>0</v>
      </c>
      <c r="F21" s="12">
        <f t="shared" si="7"/>
        <v>0</v>
      </c>
      <c r="G21" s="12">
        <f t="shared" si="7"/>
        <v>0</v>
      </c>
      <c r="H21" s="12">
        <f t="shared" si="7"/>
        <v>1522.68</v>
      </c>
      <c r="I21" s="12">
        <f t="shared" si="7"/>
        <v>0</v>
      </c>
      <c r="J21" s="12">
        <f t="shared" si="7"/>
        <v>0</v>
      </c>
      <c r="K21" s="12">
        <f t="shared" si="5"/>
        <v>1522.68</v>
      </c>
      <c r="L21" s="12">
        <f t="shared" si="6"/>
        <v>1522.68</v>
      </c>
    </row>
    <row r="22" spans="1:12" x14ac:dyDescent="0.25">
      <c r="A22" s="8" t="s">
        <v>20</v>
      </c>
      <c r="B22" s="10"/>
      <c r="C22" s="10"/>
      <c r="D22" s="10"/>
      <c r="E22" s="10"/>
      <c r="F22" s="10"/>
      <c r="G22" s="10"/>
      <c r="H22" s="10"/>
      <c r="I22" s="10"/>
      <c r="J22" s="10"/>
      <c r="K22" s="11">
        <f t="shared" si="5"/>
        <v>0</v>
      </c>
      <c r="L22" s="11">
        <f t="shared" si="6"/>
        <v>0</v>
      </c>
    </row>
    <row r="23" spans="1:12" x14ac:dyDescent="0.25">
      <c r="A23" s="8" t="s">
        <v>21</v>
      </c>
      <c r="B23" s="10"/>
      <c r="C23" s="10"/>
      <c r="D23" s="11">
        <f>325.5</f>
        <v>325.5</v>
      </c>
      <c r="E23" s="10"/>
      <c r="F23" s="10"/>
      <c r="G23" s="10"/>
      <c r="H23" s="10"/>
      <c r="I23" s="10"/>
      <c r="J23" s="10"/>
      <c r="K23" s="11">
        <f t="shared" si="5"/>
        <v>0</v>
      </c>
      <c r="L23" s="11">
        <f t="shared" si="6"/>
        <v>325.5</v>
      </c>
    </row>
    <row r="24" spans="1:12" x14ac:dyDescent="0.25">
      <c r="A24" s="8" t="s">
        <v>22</v>
      </c>
      <c r="B24" s="10"/>
      <c r="C24" s="10"/>
      <c r="D24" s="10"/>
      <c r="E24" s="10"/>
      <c r="F24" s="10"/>
      <c r="G24" s="10"/>
      <c r="H24" s="11">
        <f>9536.5</f>
        <v>9536.5</v>
      </c>
      <c r="I24" s="10"/>
      <c r="J24" s="10"/>
      <c r="K24" s="11">
        <f t="shared" si="5"/>
        <v>9536.5</v>
      </c>
      <c r="L24" s="11">
        <f t="shared" si="6"/>
        <v>9536.5</v>
      </c>
    </row>
    <row r="25" spans="1:12" x14ac:dyDescent="0.25">
      <c r="A25" s="8" t="s">
        <v>23</v>
      </c>
      <c r="B25" s="10"/>
      <c r="C25" s="10"/>
      <c r="D25" s="10"/>
      <c r="E25" s="10"/>
      <c r="F25" s="11">
        <f>162.31</f>
        <v>162.31</v>
      </c>
      <c r="G25" s="10"/>
      <c r="H25" s="10"/>
      <c r="I25" s="10"/>
      <c r="J25" s="10"/>
      <c r="K25" s="11">
        <f t="shared" si="5"/>
        <v>0</v>
      </c>
      <c r="L25" s="11">
        <f t="shared" si="6"/>
        <v>162.31</v>
      </c>
    </row>
    <row r="26" spans="1:12" x14ac:dyDescent="0.25">
      <c r="A26" s="8" t="s">
        <v>24</v>
      </c>
      <c r="B26" s="10"/>
      <c r="C26" s="10"/>
      <c r="D26" s="10"/>
      <c r="E26" s="10"/>
      <c r="F26" s="11">
        <f>79.98</f>
        <v>79.98</v>
      </c>
      <c r="G26" s="10"/>
      <c r="H26" s="10"/>
      <c r="I26" s="10"/>
      <c r="J26" s="10"/>
      <c r="K26" s="11">
        <f t="shared" si="5"/>
        <v>0</v>
      </c>
      <c r="L26" s="11">
        <f t="shared" si="6"/>
        <v>79.98</v>
      </c>
    </row>
    <row r="27" spans="1:12" x14ac:dyDescent="0.25">
      <c r="A27" s="8" t="s">
        <v>25</v>
      </c>
      <c r="B27" s="12">
        <f t="shared" ref="B27:J27" si="8">((((B22)+(B23))+(B24))+(B25))+(B26)</f>
        <v>0</v>
      </c>
      <c r="C27" s="12">
        <f t="shared" si="8"/>
        <v>0</v>
      </c>
      <c r="D27" s="12">
        <f t="shared" si="8"/>
        <v>325.5</v>
      </c>
      <c r="E27" s="12">
        <f t="shared" si="8"/>
        <v>0</v>
      </c>
      <c r="F27" s="12">
        <f t="shared" si="8"/>
        <v>242.29000000000002</v>
      </c>
      <c r="G27" s="12">
        <f t="shared" si="8"/>
        <v>0</v>
      </c>
      <c r="H27" s="12">
        <f t="shared" si="8"/>
        <v>9536.5</v>
      </c>
      <c r="I27" s="12">
        <f t="shared" si="8"/>
        <v>0</v>
      </c>
      <c r="J27" s="12">
        <f t="shared" si="8"/>
        <v>0</v>
      </c>
      <c r="K27" s="12">
        <f t="shared" si="5"/>
        <v>9536.5</v>
      </c>
      <c r="L27" s="12">
        <f t="shared" si="6"/>
        <v>10104.290000000001</v>
      </c>
    </row>
    <row r="28" spans="1:12" x14ac:dyDescent="0.25">
      <c r="A28" s="8" t="s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1">
        <f t="shared" si="5"/>
        <v>0</v>
      </c>
      <c r="L28" s="11">
        <f t="shared" si="6"/>
        <v>0</v>
      </c>
    </row>
    <row r="29" spans="1:12" x14ac:dyDescent="0.25">
      <c r="A29" s="8" t="s">
        <v>27</v>
      </c>
      <c r="B29" s="11">
        <f>301.76</f>
        <v>301.76</v>
      </c>
      <c r="C29" s="10"/>
      <c r="D29" s="10"/>
      <c r="E29" s="10"/>
      <c r="F29" s="10"/>
      <c r="G29" s="10"/>
      <c r="H29" s="10"/>
      <c r="I29" s="10"/>
      <c r="J29" s="10"/>
      <c r="K29" s="11">
        <f t="shared" si="5"/>
        <v>0</v>
      </c>
      <c r="L29" s="11">
        <f t="shared" si="6"/>
        <v>301.76</v>
      </c>
    </row>
    <row r="30" spans="1:12" x14ac:dyDescent="0.25">
      <c r="A30" s="8" t="s">
        <v>55</v>
      </c>
      <c r="B30" s="11">
        <f>85</f>
        <v>85</v>
      </c>
      <c r="C30" s="10"/>
      <c r="D30" s="10"/>
      <c r="E30" s="10"/>
      <c r="F30" s="10"/>
      <c r="G30" s="10"/>
      <c r="H30" s="10"/>
      <c r="I30" s="10"/>
      <c r="J30" s="10"/>
      <c r="K30" s="11">
        <f t="shared" si="5"/>
        <v>0</v>
      </c>
      <c r="L30" s="11">
        <f t="shared" si="6"/>
        <v>85</v>
      </c>
    </row>
    <row r="31" spans="1:12" x14ac:dyDescent="0.25">
      <c r="A31" s="8" t="s">
        <v>28</v>
      </c>
      <c r="B31" s="11">
        <f>34.47</f>
        <v>34.47</v>
      </c>
      <c r="C31" s="10"/>
      <c r="D31" s="10"/>
      <c r="E31" s="10"/>
      <c r="F31" s="10"/>
      <c r="G31" s="10"/>
      <c r="H31" s="10"/>
      <c r="I31" s="10"/>
      <c r="J31" s="10"/>
      <c r="K31" s="11">
        <f t="shared" si="5"/>
        <v>0</v>
      </c>
      <c r="L31" s="11">
        <f t="shared" si="6"/>
        <v>34.47</v>
      </c>
    </row>
    <row r="32" spans="1:12" x14ac:dyDescent="0.25">
      <c r="A32" s="8" t="s">
        <v>56</v>
      </c>
      <c r="B32" s="10"/>
      <c r="C32" s="11">
        <f>526.23</f>
        <v>526.23</v>
      </c>
      <c r="D32" s="10"/>
      <c r="E32" s="10"/>
      <c r="F32" s="10"/>
      <c r="G32" s="10"/>
      <c r="H32" s="10"/>
      <c r="I32" s="10"/>
      <c r="J32" s="11">
        <f>146.48</f>
        <v>146.47999999999999</v>
      </c>
      <c r="K32" s="11">
        <f t="shared" si="5"/>
        <v>146.47999999999999</v>
      </c>
      <c r="L32" s="11">
        <f t="shared" si="6"/>
        <v>672.71</v>
      </c>
    </row>
    <row r="33" spans="1:12" x14ac:dyDescent="0.25">
      <c r="A33" s="8" t="s">
        <v>29</v>
      </c>
      <c r="B33" s="10"/>
      <c r="C33" s="10"/>
      <c r="D33" s="10"/>
      <c r="E33" s="10"/>
      <c r="F33" s="11">
        <f>274.44</f>
        <v>274.44</v>
      </c>
      <c r="G33" s="10"/>
      <c r="H33" s="10"/>
      <c r="I33" s="10"/>
      <c r="J33" s="10"/>
      <c r="K33" s="11">
        <f t="shared" si="5"/>
        <v>0</v>
      </c>
      <c r="L33" s="11">
        <f t="shared" si="6"/>
        <v>274.44</v>
      </c>
    </row>
    <row r="34" spans="1:12" x14ac:dyDescent="0.25">
      <c r="A34" s="8" t="s">
        <v>57</v>
      </c>
      <c r="B34" s="10"/>
      <c r="C34" s="10"/>
      <c r="D34" s="10"/>
      <c r="E34" s="10"/>
      <c r="F34" s="10"/>
      <c r="G34" s="10"/>
      <c r="H34" s="10"/>
      <c r="I34" s="11">
        <f>3117.6</f>
        <v>3117.6</v>
      </c>
      <c r="J34" s="10"/>
      <c r="K34" s="11">
        <f t="shared" si="5"/>
        <v>3117.6</v>
      </c>
      <c r="L34" s="11">
        <f t="shared" si="6"/>
        <v>3117.6</v>
      </c>
    </row>
    <row r="35" spans="1:12" x14ac:dyDescent="0.25">
      <c r="A35" s="8" t="s">
        <v>30</v>
      </c>
      <c r="B35" s="12">
        <f t="shared" ref="B35:J35" si="9">((((((B28)+(B29))+(B30))+(B31))+(B32))+(B33))+(B34)</f>
        <v>421.23</v>
      </c>
      <c r="C35" s="12">
        <f t="shared" si="9"/>
        <v>526.23</v>
      </c>
      <c r="D35" s="12">
        <f t="shared" si="9"/>
        <v>0</v>
      </c>
      <c r="E35" s="12">
        <f t="shared" si="9"/>
        <v>0</v>
      </c>
      <c r="F35" s="12">
        <f t="shared" si="9"/>
        <v>274.44</v>
      </c>
      <c r="G35" s="12">
        <f t="shared" si="9"/>
        <v>0</v>
      </c>
      <c r="H35" s="12">
        <f t="shared" si="9"/>
        <v>0</v>
      </c>
      <c r="I35" s="12">
        <f t="shared" si="9"/>
        <v>3117.6</v>
      </c>
      <c r="J35" s="12">
        <f t="shared" si="9"/>
        <v>146.47999999999999</v>
      </c>
      <c r="K35" s="12">
        <f t="shared" si="5"/>
        <v>3264.08</v>
      </c>
      <c r="L35" s="12">
        <f t="shared" si="6"/>
        <v>4485.9799999999996</v>
      </c>
    </row>
    <row r="36" spans="1:12" x14ac:dyDescent="0.25">
      <c r="A36" s="8" t="s">
        <v>31</v>
      </c>
      <c r="B36" s="12">
        <f t="shared" ref="B36:J36" si="10">((B21)+(B27))+(B35)</f>
        <v>421.23</v>
      </c>
      <c r="C36" s="12">
        <f t="shared" si="10"/>
        <v>526.23</v>
      </c>
      <c r="D36" s="12">
        <f t="shared" si="10"/>
        <v>325.5</v>
      </c>
      <c r="E36" s="12">
        <f t="shared" si="10"/>
        <v>0</v>
      </c>
      <c r="F36" s="12">
        <f t="shared" si="10"/>
        <v>516.73</v>
      </c>
      <c r="G36" s="12">
        <f t="shared" si="10"/>
        <v>0</v>
      </c>
      <c r="H36" s="12">
        <f t="shared" si="10"/>
        <v>11059.18</v>
      </c>
      <c r="I36" s="12">
        <f t="shared" si="10"/>
        <v>3117.6</v>
      </c>
      <c r="J36" s="12">
        <f t="shared" si="10"/>
        <v>146.47999999999999</v>
      </c>
      <c r="K36" s="12">
        <f t="shared" si="5"/>
        <v>14323.26</v>
      </c>
      <c r="L36" s="12">
        <f t="shared" si="6"/>
        <v>16112.95</v>
      </c>
    </row>
    <row r="37" spans="1:12" x14ac:dyDescent="0.25">
      <c r="A37" s="8" t="s">
        <v>32</v>
      </c>
      <c r="B37" s="12">
        <f t="shared" ref="B37:J37" si="11">(B14)-(B36)</f>
        <v>-421.23</v>
      </c>
      <c r="C37" s="12">
        <f t="shared" si="11"/>
        <v>-526.23</v>
      </c>
      <c r="D37" s="12">
        <f t="shared" si="11"/>
        <v>-325.5</v>
      </c>
      <c r="E37" s="12">
        <f t="shared" si="11"/>
        <v>0</v>
      </c>
      <c r="F37" s="12">
        <f t="shared" si="11"/>
        <v>-372.67</v>
      </c>
      <c r="G37" s="12">
        <f t="shared" si="11"/>
        <v>0</v>
      </c>
      <c r="H37" s="12">
        <f t="shared" si="11"/>
        <v>3810.2799999999988</v>
      </c>
      <c r="I37" s="12">
        <f t="shared" si="11"/>
        <v>-3117.6</v>
      </c>
      <c r="J37" s="12">
        <f t="shared" si="11"/>
        <v>-146.47999999999999</v>
      </c>
      <c r="K37" s="12">
        <f t="shared" si="5"/>
        <v>546.19999999999891</v>
      </c>
      <c r="L37" s="12">
        <f t="shared" si="6"/>
        <v>-1099.4300000000012</v>
      </c>
    </row>
    <row r="38" spans="1:12" x14ac:dyDescent="0.25">
      <c r="A38" s="8" t="s">
        <v>33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x14ac:dyDescent="0.25">
      <c r="A39" s="8" t="s">
        <v>34</v>
      </c>
      <c r="B39" s="10"/>
      <c r="C39" s="10"/>
      <c r="D39" s="10"/>
      <c r="E39" s="10"/>
      <c r="F39" s="10"/>
      <c r="G39" s="10"/>
      <c r="H39" s="11">
        <f>15.35</f>
        <v>15.35</v>
      </c>
      <c r="I39" s="10"/>
      <c r="J39" s="10"/>
      <c r="K39" s="11">
        <f t="shared" ref="K39:K45" si="12">(((G39)+(H39))+(I39))+(J39)</f>
        <v>15.35</v>
      </c>
      <c r="L39" s="11">
        <f t="shared" ref="L39:L45" si="13">(((((B39)+(C39))+(D39))+(E39))+(F39))+(K39)</f>
        <v>15.35</v>
      </c>
    </row>
    <row r="40" spans="1:12" x14ac:dyDescent="0.25">
      <c r="A40" s="8" t="s">
        <v>35</v>
      </c>
      <c r="B40" s="10"/>
      <c r="C40" s="10"/>
      <c r="D40" s="10"/>
      <c r="E40" s="10"/>
      <c r="F40" s="10"/>
      <c r="G40" s="10"/>
      <c r="H40" s="10"/>
      <c r="I40" s="10"/>
      <c r="J40" s="10"/>
      <c r="K40" s="11">
        <f t="shared" si="12"/>
        <v>0</v>
      </c>
      <c r="L40" s="11">
        <f t="shared" si="13"/>
        <v>0</v>
      </c>
    </row>
    <row r="41" spans="1:12" x14ac:dyDescent="0.25">
      <c r="A41" s="8" t="s">
        <v>36</v>
      </c>
      <c r="B41" s="10"/>
      <c r="C41" s="10"/>
      <c r="D41" s="10"/>
      <c r="E41" s="11">
        <f>-6420</f>
        <v>-6420</v>
      </c>
      <c r="F41" s="10"/>
      <c r="G41" s="10"/>
      <c r="H41" s="10"/>
      <c r="I41" s="10"/>
      <c r="J41" s="10"/>
      <c r="K41" s="11">
        <f t="shared" si="12"/>
        <v>0</v>
      </c>
      <c r="L41" s="11">
        <f t="shared" si="13"/>
        <v>-6420</v>
      </c>
    </row>
    <row r="42" spans="1:12" x14ac:dyDescent="0.25">
      <c r="A42" s="8" t="s">
        <v>37</v>
      </c>
      <c r="B42" s="12">
        <f t="shared" ref="B42:J42" si="14">(B40)+(B41)</f>
        <v>0</v>
      </c>
      <c r="C42" s="12">
        <f t="shared" si="14"/>
        <v>0</v>
      </c>
      <c r="D42" s="12">
        <f t="shared" si="14"/>
        <v>0</v>
      </c>
      <c r="E42" s="12">
        <f t="shared" si="14"/>
        <v>-6420</v>
      </c>
      <c r="F42" s="12">
        <f t="shared" si="14"/>
        <v>0</v>
      </c>
      <c r="G42" s="12">
        <f t="shared" si="14"/>
        <v>0</v>
      </c>
      <c r="H42" s="12">
        <f t="shared" si="14"/>
        <v>0</v>
      </c>
      <c r="I42" s="12">
        <f t="shared" si="14"/>
        <v>0</v>
      </c>
      <c r="J42" s="12">
        <f t="shared" si="14"/>
        <v>0</v>
      </c>
      <c r="K42" s="12">
        <f t="shared" si="12"/>
        <v>0</v>
      </c>
      <c r="L42" s="12">
        <f t="shared" si="13"/>
        <v>-6420</v>
      </c>
    </row>
    <row r="43" spans="1:12" x14ac:dyDescent="0.25">
      <c r="A43" s="8" t="s">
        <v>38</v>
      </c>
      <c r="B43" s="12">
        <f t="shared" ref="B43:J43" si="15">(B39)+(B42)</f>
        <v>0</v>
      </c>
      <c r="C43" s="12">
        <f t="shared" si="15"/>
        <v>0</v>
      </c>
      <c r="D43" s="12">
        <f t="shared" si="15"/>
        <v>0</v>
      </c>
      <c r="E43" s="12">
        <f t="shared" si="15"/>
        <v>-6420</v>
      </c>
      <c r="F43" s="12">
        <f t="shared" si="15"/>
        <v>0</v>
      </c>
      <c r="G43" s="12">
        <f t="shared" si="15"/>
        <v>0</v>
      </c>
      <c r="H43" s="12">
        <f t="shared" si="15"/>
        <v>15.35</v>
      </c>
      <c r="I43" s="12">
        <f t="shared" si="15"/>
        <v>0</v>
      </c>
      <c r="J43" s="12">
        <f t="shared" si="15"/>
        <v>0</v>
      </c>
      <c r="K43" s="12">
        <f t="shared" si="12"/>
        <v>15.35</v>
      </c>
      <c r="L43" s="12">
        <f t="shared" si="13"/>
        <v>-6404.65</v>
      </c>
    </row>
    <row r="44" spans="1:12" x14ac:dyDescent="0.25">
      <c r="A44" s="8" t="s">
        <v>39</v>
      </c>
      <c r="B44" s="12">
        <f t="shared" ref="B44:J44" si="16">(B43)-(0)</f>
        <v>0</v>
      </c>
      <c r="C44" s="12">
        <f t="shared" si="16"/>
        <v>0</v>
      </c>
      <c r="D44" s="12">
        <f t="shared" si="16"/>
        <v>0</v>
      </c>
      <c r="E44" s="12">
        <f t="shared" si="16"/>
        <v>-6420</v>
      </c>
      <c r="F44" s="12">
        <f t="shared" si="16"/>
        <v>0</v>
      </c>
      <c r="G44" s="12">
        <f t="shared" si="16"/>
        <v>0</v>
      </c>
      <c r="H44" s="12">
        <f t="shared" si="16"/>
        <v>15.35</v>
      </c>
      <c r="I44" s="12">
        <f t="shared" si="16"/>
        <v>0</v>
      </c>
      <c r="J44" s="12">
        <f t="shared" si="16"/>
        <v>0</v>
      </c>
      <c r="K44" s="12">
        <f t="shared" si="12"/>
        <v>15.35</v>
      </c>
      <c r="L44" s="12">
        <f t="shared" si="13"/>
        <v>-6404.65</v>
      </c>
    </row>
    <row r="45" spans="1:12" x14ac:dyDescent="0.25">
      <c r="A45" s="8" t="s">
        <v>40</v>
      </c>
      <c r="B45" s="12">
        <f t="shared" ref="B45:J45" si="17">(B37)+(B44)</f>
        <v>-421.23</v>
      </c>
      <c r="C45" s="12">
        <f t="shared" si="17"/>
        <v>-526.23</v>
      </c>
      <c r="D45" s="12">
        <f t="shared" si="17"/>
        <v>-325.5</v>
      </c>
      <c r="E45" s="12">
        <f t="shared" si="17"/>
        <v>-6420</v>
      </c>
      <c r="F45" s="12">
        <f t="shared" si="17"/>
        <v>-372.67</v>
      </c>
      <c r="G45" s="12">
        <f t="shared" si="17"/>
        <v>0</v>
      </c>
      <c r="H45" s="12">
        <f t="shared" si="17"/>
        <v>3825.6299999999987</v>
      </c>
      <c r="I45" s="12">
        <f t="shared" si="17"/>
        <v>-3117.6</v>
      </c>
      <c r="J45" s="12">
        <f t="shared" si="17"/>
        <v>-146.47999999999999</v>
      </c>
      <c r="K45" s="12">
        <f t="shared" si="12"/>
        <v>561.54999999999882</v>
      </c>
      <c r="L45" s="12">
        <f t="shared" si="13"/>
        <v>-7504.0800000000017</v>
      </c>
    </row>
    <row r="46" spans="1:12" x14ac:dyDescent="0.25">
      <c r="A46" s="8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9" spans="1:12" x14ac:dyDescent="0.25">
      <c r="A49" s="19" t="s">
        <v>112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</sheetData>
  <mergeCells count="4">
    <mergeCell ref="A1:L1"/>
    <mergeCell ref="A2:L2"/>
    <mergeCell ref="A3:L3"/>
    <mergeCell ref="A49:L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topLeftCell="A19" workbookViewId="0">
      <selection activeCell="E44" sqref="E44"/>
    </sheetView>
  </sheetViews>
  <sheetFormatPr defaultRowHeight="15" x14ac:dyDescent="0.25"/>
  <cols>
    <col min="1" max="1" width="28.28515625" customWidth="1"/>
    <col min="2" max="2" width="11.28515625" bestFit="1" customWidth="1"/>
    <col min="3" max="3" width="10.28515625" bestFit="1" customWidth="1"/>
    <col min="4" max="4" width="10.28515625" customWidth="1"/>
    <col min="5" max="5" width="11.28515625" bestFit="1" customWidth="1"/>
    <col min="6" max="6" width="7.7109375" customWidth="1"/>
    <col min="7" max="8" width="9.42578125" customWidth="1"/>
    <col min="9" max="9" width="10.28515625" customWidth="1"/>
  </cols>
  <sheetData>
    <row r="1" spans="1:9" ht="18" x14ac:dyDescent="0.25">
      <c r="A1" s="21" t="s">
        <v>42</v>
      </c>
      <c r="B1" s="17"/>
      <c r="C1" s="17"/>
      <c r="D1" s="17"/>
      <c r="E1" s="17"/>
      <c r="F1" s="17"/>
      <c r="G1" s="17"/>
      <c r="H1" s="17"/>
      <c r="I1" s="17"/>
    </row>
    <row r="2" spans="1:9" ht="18" x14ac:dyDescent="0.25">
      <c r="A2" s="21" t="s">
        <v>43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22" t="s">
        <v>44</v>
      </c>
      <c r="B3" s="17"/>
      <c r="C3" s="17"/>
      <c r="D3" s="17"/>
      <c r="E3" s="17"/>
      <c r="F3" s="17"/>
      <c r="G3" s="17"/>
      <c r="H3" s="17"/>
      <c r="I3" s="17"/>
    </row>
    <row r="5" spans="1:9" ht="60.75" x14ac:dyDescent="0.25">
      <c r="A5" s="1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</row>
    <row r="6" spans="1:9" x14ac:dyDescent="0.25">
      <c r="A6" s="3" t="s">
        <v>8</v>
      </c>
      <c r="B6" s="4"/>
      <c r="C6" s="4"/>
      <c r="D6" s="4"/>
      <c r="E6" s="4"/>
      <c r="F6" s="4"/>
      <c r="G6" s="4"/>
      <c r="H6" s="4"/>
      <c r="I6" s="4"/>
    </row>
    <row r="7" spans="1:9" x14ac:dyDescent="0.25">
      <c r="A7" s="3" t="s">
        <v>9</v>
      </c>
      <c r="B7" s="4"/>
      <c r="C7" s="4"/>
      <c r="D7" s="4"/>
      <c r="E7" s="4"/>
      <c r="F7" s="4"/>
      <c r="G7" s="5">
        <f>164.83</f>
        <v>164.83</v>
      </c>
      <c r="H7" s="5">
        <f t="shared" ref="H7:H12" si="0">(F7)+(G7)</f>
        <v>164.83</v>
      </c>
      <c r="I7" s="5">
        <f t="shared" ref="I7:I12" si="1">((((B7)+(C7))+(D7))+(E7))+(H7)</f>
        <v>164.83</v>
      </c>
    </row>
    <row r="8" spans="1:9" x14ac:dyDescent="0.25">
      <c r="A8" s="3" t="s">
        <v>10</v>
      </c>
      <c r="B8" s="4"/>
      <c r="C8" s="4"/>
      <c r="D8" s="4"/>
      <c r="E8" s="4"/>
      <c r="F8" s="4"/>
      <c r="G8" s="4"/>
      <c r="H8" s="5">
        <f t="shared" si="0"/>
        <v>0</v>
      </c>
      <c r="I8" s="5">
        <f t="shared" si="1"/>
        <v>0</v>
      </c>
    </row>
    <row r="9" spans="1:9" x14ac:dyDescent="0.25">
      <c r="A9" s="3" t="s">
        <v>11</v>
      </c>
      <c r="B9" s="4"/>
      <c r="C9" s="4"/>
      <c r="D9" s="4"/>
      <c r="E9" s="4"/>
      <c r="F9" s="4"/>
      <c r="G9" s="5">
        <f>14405</f>
        <v>14405</v>
      </c>
      <c r="H9" s="5">
        <f t="shared" si="0"/>
        <v>14405</v>
      </c>
      <c r="I9" s="5">
        <f t="shared" si="1"/>
        <v>14405</v>
      </c>
    </row>
    <row r="10" spans="1:9" x14ac:dyDescent="0.25">
      <c r="A10" s="3" t="s">
        <v>12</v>
      </c>
      <c r="B10" s="6">
        <f t="shared" ref="B10:G10" si="2">(B8)+(B9)</f>
        <v>0</v>
      </c>
      <c r="C10" s="6">
        <f t="shared" si="2"/>
        <v>0</v>
      </c>
      <c r="D10" s="6">
        <f t="shared" si="2"/>
        <v>0</v>
      </c>
      <c r="E10" s="6">
        <f t="shared" si="2"/>
        <v>0</v>
      </c>
      <c r="F10" s="6">
        <f t="shared" si="2"/>
        <v>0</v>
      </c>
      <c r="G10" s="6">
        <f t="shared" si="2"/>
        <v>14405</v>
      </c>
      <c r="H10" s="6">
        <f t="shared" si="0"/>
        <v>14405</v>
      </c>
      <c r="I10" s="6">
        <f t="shared" si="1"/>
        <v>14405</v>
      </c>
    </row>
    <row r="11" spans="1:9" x14ac:dyDescent="0.25">
      <c r="A11" s="3" t="s">
        <v>13</v>
      </c>
      <c r="B11" s="6">
        <f t="shared" ref="B11:G11" si="3">(B7)+(B10)</f>
        <v>0</v>
      </c>
      <c r="C11" s="6">
        <f t="shared" si="3"/>
        <v>0</v>
      </c>
      <c r="D11" s="6">
        <f t="shared" si="3"/>
        <v>0</v>
      </c>
      <c r="E11" s="6">
        <f t="shared" si="3"/>
        <v>0</v>
      </c>
      <c r="F11" s="6">
        <f t="shared" si="3"/>
        <v>0</v>
      </c>
      <c r="G11" s="6">
        <f t="shared" si="3"/>
        <v>14569.83</v>
      </c>
      <c r="H11" s="6">
        <f t="shared" si="0"/>
        <v>14569.83</v>
      </c>
      <c r="I11" s="6">
        <f t="shared" si="1"/>
        <v>14569.83</v>
      </c>
    </row>
    <row r="12" spans="1:9" x14ac:dyDescent="0.25">
      <c r="A12" s="3" t="s">
        <v>14</v>
      </c>
      <c r="B12" s="6">
        <f t="shared" ref="B12:G12" si="4">(B11)-(0)</f>
        <v>0</v>
      </c>
      <c r="C12" s="6">
        <f t="shared" si="4"/>
        <v>0</v>
      </c>
      <c r="D12" s="6">
        <f t="shared" si="4"/>
        <v>0</v>
      </c>
      <c r="E12" s="6">
        <f t="shared" si="4"/>
        <v>0</v>
      </c>
      <c r="F12" s="6">
        <f t="shared" si="4"/>
        <v>0</v>
      </c>
      <c r="G12" s="6">
        <f t="shared" si="4"/>
        <v>14569.83</v>
      </c>
      <c r="H12" s="6">
        <f t="shared" si="0"/>
        <v>14569.83</v>
      </c>
      <c r="I12" s="6">
        <f t="shared" si="1"/>
        <v>14569.83</v>
      </c>
    </row>
    <row r="13" spans="1:9" x14ac:dyDescent="0.25">
      <c r="A13" s="3" t="s">
        <v>15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" t="s">
        <v>16</v>
      </c>
      <c r="B14" s="4"/>
      <c r="C14" s="4"/>
      <c r="D14" s="4"/>
      <c r="E14" s="4"/>
      <c r="F14" s="4"/>
      <c r="G14" s="4"/>
      <c r="H14" s="5">
        <f t="shared" ref="H14:H30" si="5">(F14)+(G14)</f>
        <v>0</v>
      </c>
      <c r="I14" s="5">
        <f t="shared" ref="I14:I30" si="6">((((B14)+(C14))+(D14))+(E14))+(H14)</f>
        <v>0</v>
      </c>
    </row>
    <row r="15" spans="1:9" x14ac:dyDescent="0.25">
      <c r="A15" s="3" t="s">
        <v>17</v>
      </c>
      <c r="B15" s="4"/>
      <c r="C15" s="4"/>
      <c r="D15" s="4"/>
      <c r="E15" s="4"/>
      <c r="F15" s="4"/>
      <c r="G15" s="5">
        <f>60</f>
        <v>60</v>
      </c>
      <c r="H15" s="5">
        <f t="shared" si="5"/>
        <v>60</v>
      </c>
      <c r="I15" s="5">
        <f t="shared" si="6"/>
        <v>60</v>
      </c>
    </row>
    <row r="16" spans="1:9" x14ac:dyDescent="0.25">
      <c r="A16" s="3" t="s">
        <v>18</v>
      </c>
      <c r="B16" s="4"/>
      <c r="C16" s="4"/>
      <c r="D16" s="4"/>
      <c r="E16" s="4"/>
      <c r="F16" s="4"/>
      <c r="G16" s="5">
        <f>80</f>
        <v>80</v>
      </c>
      <c r="H16" s="5">
        <f t="shared" si="5"/>
        <v>80</v>
      </c>
      <c r="I16" s="5">
        <f t="shared" si="6"/>
        <v>80</v>
      </c>
    </row>
    <row r="17" spans="1:9" x14ac:dyDescent="0.25">
      <c r="A17" s="3" t="s">
        <v>19</v>
      </c>
      <c r="B17" s="6">
        <f t="shared" ref="B17:G17" si="7">((B14)+(B15))+(B16)</f>
        <v>0</v>
      </c>
      <c r="C17" s="6">
        <f t="shared" si="7"/>
        <v>0</v>
      </c>
      <c r="D17" s="6">
        <f t="shared" si="7"/>
        <v>0</v>
      </c>
      <c r="E17" s="6">
        <f t="shared" si="7"/>
        <v>0</v>
      </c>
      <c r="F17" s="6">
        <f t="shared" si="7"/>
        <v>0</v>
      </c>
      <c r="G17" s="6">
        <f t="shared" si="7"/>
        <v>140</v>
      </c>
      <c r="H17" s="6">
        <f t="shared" si="5"/>
        <v>140</v>
      </c>
      <c r="I17" s="6">
        <f t="shared" si="6"/>
        <v>140</v>
      </c>
    </row>
    <row r="18" spans="1:9" x14ac:dyDescent="0.25">
      <c r="A18" s="3" t="s">
        <v>20</v>
      </c>
      <c r="B18" s="4"/>
      <c r="C18" s="4"/>
      <c r="D18" s="4"/>
      <c r="E18" s="4"/>
      <c r="F18" s="4"/>
      <c r="G18" s="4"/>
      <c r="H18" s="5">
        <f t="shared" si="5"/>
        <v>0</v>
      </c>
      <c r="I18" s="5">
        <f t="shared" si="6"/>
        <v>0</v>
      </c>
    </row>
    <row r="19" spans="1:9" x14ac:dyDescent="0.25">
      <c r="A19" s="3" t="s">
        <v>21</v>
      </c>
      <c r="B19" s="4"/>
      <c r="C19" s="5">
        <f>325.5</f>
        <v>325.5</v>
      </c>
      <c r="D19" s="4"/>
      <c r="E19" s="4"/>
      <c r="F19" s="4"/>
      <c r="G19" s="4"/>
      <c r="H19" s="5">
        <f t="shared" si="5"/>
        <v>0</v>
      </c>
      <c r="I19" s="5">
        <f t="shared" si="6"/>
        <v>325.5</v>
      </c>
    </row>
    <row r="20" spans="1:9" x14ac:dyDescent="0.25">
      <c r="A20" s="3" t="s">
        <v>22</v>
      </c>
      <c r="B20" s="4"/>
      <c r="C20" s="4"/>
      <c r="D20" s="4"/>
      <c r="E20" s="4"/>
      <c r="F20" s="4"/>
      <c r="G20" s="5">
        <f>9536.5</f>
        <v>9536.5</v>
      </c>
      <c r="H20" s="5">
        <f t="shared" si="5"/>
        <v>9536.5</v>
      </c>
      <c r="I20" s="5">
        <f t="shared" si="6"/>
        <v>9536.5</v>
      </c>
    </row>
    <row r="21" spans="1:9" x14ac:dyDescent="0.25">
      <c r="A21" s="3" t="s">
        <v>23</v>
      </c>
      <c r="B21" s="4"/>
      <c r="C21" s="4"/>
      <c r="D21" s="4"/>
      <c r="E21" s="5">
        <f>162.31</f>
        <v>162.31</v>
      </c>
      <c r="F21" s="4"/>
      <c r="G21" s="4"/>
      <c r="H21" s="5">
        <f t="shared" si="5"/>
        <v>0</v>
      </c>
      <c r="I21" s="5">
        <f t="shared" si="6"/>
        <v>162.31</v>
      </c>
    </row>
    <row r="22" spans="1:9" x14ac:dyDescent="0.25">
      <c r="A22" s="3" t="s">
        <v>24</v>
      </c>
      <c r="B22" s="4"/>
      <c r="C22" s="4"/>
      <c r="D22" s="4"/>
      <c r="E22" s="5">
        <f>79.98</f>
        <v>79.98</v>
      </c>
      <c r="F22" s="4"/>
      <c r="G22" s="4"/>
      <c r="H22" s="5">
        <f t="shared" si="5"/>
        <v>0</v>
      </c>
      <c r="I22" s="5">
        <f t="shared" si="6"/>
        <v>79.98</v>
      </c>
    </row>
    <row r="23" spans="1:9" x14ac:dyDescent="0.25">
      <c r="A23" s="3" t="s">
        <v>25</v>
      </c>
      <c r="B23" s="6">
        <f t="shared" ref="B23:G23" si="8">((((B18)+(B19))+(B20))+(B21))+(B22)</f>
        <v>0</v>
      </c>
      <c r="C23" s="6">
        <f t="shared" si="8"/>
        <v>325.5</v>
      </c>
      <c r="D23" s="6">
        <f t="shared" si="8"/>
        <v>0</v>
      </c>
      <c r="E23" s="6">
        <f t="shared" si="8"/>
        <v>242.29000000000002</v>
      </c>
      <c r="F23" s="6">
        <f t="shared" si="8"/>
        <v>0</v>
      </c>
      <c r="G23" s="6">
        <f t="shared" si="8"/>
        <v>9536.5</v>
      </c>
      <c r="H23" s="6">
        <f t="shared" si="5"/>
        <v>9536.5</v>
      </c>
      <c r="I23" s="6">
        <f t="shared" si="6"/>
        <v>10104.290000000001</v>
      </c>
    </row>
    <row r="24" spans="1:9" x14ac:dyDescent="0.25">
      <c r="A24" s="3" t="s">
        <v>26</v>
      </c>
      <c r="B24" s="4"/>
      <c r="C24" s="4"/>
      <c r="D24" s="4"/>
      <c r="E24" s="4"/>
      <c r="F24" s="4"/>
      <c r="G24" s="4"/>
      <c r="H24" s="5">
        <f t="shared" si="5"/>
        <v>0</v>
      </c>
      <c r="I24" s="5">
        <f t="shared" si="6"/>
        <v>0</v>
      </c>
    </row>
    <row r="25" spans="1:9" x14ac:dyDescent="0.25">
      <c r="A25" s="3" t="s">
        <v>27</v>
      </c>
      <c r="B25" s="5">
        <f>301.76</f>
        <v>301.76</v>
      </c>
      <c r="C25" s="4"/>
      <c r="D25" s="4"/>
      <c r="E25" s="4"/>
      <c r="F25" s="4"/>
      <c r="G25" s="4"/>
      <c r="H25" s="5">
        <f t="shared" si="5"/>
        <v>0</v>
      </c>
      <c r="I25" s="5">
        <f t="shared" si="6"/>
        <v>301.76</v>
      </c>
    </row>
    <row r="26" spans="1:9" x14ac:dyDescent="0.25">
      <c r="A26" s="3" t="s">
        <v>28</v>
      </c>
      <c r="B26" s="5">
        <f>34.47</f>
        <v>34.47</v>
      </c>
      <c r="C26" s="4"/>
      <c r="D26" s="4"/>
      <c r="E26" s="4"/>
      <c r="F26" s="4"/>
      <c r="G26" s="4"/>
      <c r="H26" s="5">
        <f t="shared" si="5"/>
        <v>0</v>
      </c>
      <c r="I26" s="5">
        <f t="shared" si="6"/>
        <v>34.47</v>
      </c>
    </row>
    <row r="27" spans="1:9" x14ac:dyDescent="0.25">
      <c r="A27" s="3" t="s">
        <v>29</v>
      </c>
      <c r="B27" s="4"/>
      <c r="C27" s="4"/>
      <c r="D27" s="4"/>
      <c r="E27" s="5">
        <f>274.44</f>
        <v>274.44</v>
      </c>
      <c r="F27" s="4"/>
      <c r="G27" s="4"/>
      <c r="H27" s="5">
        <f t="shared" si="5"/>
        <v>0</v>
      </c>
      <c r="I27" s="5">
        <f t="shared" si="6"/>
        <v>274.44</v>
      </c>
    </row>
    <row r="28" spans="1:9" x14ac:dyDescent="0.25">
      <c r="A28" s="3" t="s">
        <v>30</v>
      </c>
      <c r="B28" s="6">
        <f t="shared" ref="B28:G28" si="9">(((B24)+(B25))+(B26))+(B27)</f>
        <v>336.23</v>
      </c>
      <c r="C28" s="6">
        <f t="shared" si="9"/>
        <v>0</v>
      </c>
      <c r="D28" s="6">
        <f t="shared" si="9"/>
        <v>0</v>
      </c>
      <c r="E28" s="6">
        <f t="shared" si="9"/>
        <v>274.44</v>
      </c>
      <c r="F28" s="6">
        <f t="shared" si="9"/>
        <v>0</v>
      </c>
      <c r="G28" s="6">
        <f t="shared" si="9"/>
        <v>0</v>
      </c>
      <c r="H28" s="6">
        <f t="shared" si="5"/>
        <v>0</v>
      </c>
      <c r="I28" s="6">
        <f t="shared" si="6"/>
        <v>610.67000000000007</v>
      </c>
    </row>
    <row r="29" spans="1:9" x14ac:dyDescent="0.25">
      <c r="A29" s="3" t="s">
        <v>31</v>
      </c>
      <c r="B29" s="6">
        <f t="shared" ref="B29:G29" si="10">((B17)+(B23))+(B28)</f>
        <v>336.23</v>
      </c>
      <c r="C29" s="6">
        <f t="shared" si="10"/>
        <v>325.5</v>
      </c>
      <c r="D29" s="6">
        <f t="shared" si="10"/>
        <v>0</v>
      </c>
      <c r="E29" s="6">
        <f t="shared" si="10"/>
        <v>516.73</v>
      </c>
      <c r="F29" s="6">
        <f t="shared" si="10"/>
        <v>0</v>
      </c>
      <c r="G29" s="6">
        <f t="shared" si="10"/>
        <v>9676.5</v>
      </c>
      <c r="H29" s="6">
        <f t="shared" si="5"/>
        <v>9676.5</v>
      </c>
      <c r="I29" s="6">
        <f t="shared" si="6"/>
        <v>10854.96</v>
      </c>
    </row>
    <row r="30" spans="1:9" x14ac:dyDescent="0.25">
      <c r="A30" s="3" t="s">
        <v>32</v>
      </c>
      <c r="B30" s="6">
        <f t="shared" ref="B30:G30" si="11">(B12)-(B29)</f>
        <v>-336.23</v>
      </c>
      <c r="C30" s="6">
        <f t="shared" si="11"/>
        <v>-325.5</v>
      </c>
      <c r="D30" s="6">
        <f t="shared" si="11"/>
        <v>0</v>
      </c>
      <c r="E30" s="6">
        <f t="shared" si="11"/>
        <v>-516.73</v>
      </c>
      <c r="F30" s="6">
        <f t="shared" si="11"/>
        <v>0</v>
      </c>
      <c r="G30" s="6">
        <f t="shared" si="11"/>
        <v>4893.33</v>
      </c>
      <c r="H30" s="6">
        <f t="shared" si="5"/>
        <v>4893.33</v>
      </c>
      <c r="I30" s="6">
        <f t="shared" si="6"/>
        <v>3714.87</v>
      </c>
    </row>
    <row r="31" spans="1:9" x14ac:dyDescent="0.25">
      <c r="A31" s="3" t="s">
        <v>33</v>
      </c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3" t="s">
        <v>34</v>
      </c>
      <c r="B32" s="4"/>
      <c r="C32" s="4"/>
      <c r="D32" s="4"/>
      <c r="E32" s="4"/>
      <c r="F32" s="4"/>
      <c r="G32" s="5">
        <f>7.8</f>
        <v>7.8</v>
      </c>
      <c r="H32" s="5">
        <f t="shared" ref="H32:H38" si="12">(F32)+(G32)</f>
        <v>7.8</v>
      </c>
      <c r="I32" s="5">
        <f t="shared" ref="I32:I38" si="13">((((B32)+(C32))+(D32))+(E32))+(H32)</f>
        <v>7.8</v>
      </c>
    </row>
    <row r="33" spans="1:9" x14ac:dyDescent="0.25">
      <c r="A33" s="3" t="s">
        <v>35</v>
      </c>
      <c r="B33" s="4"/>
      <c r="C33" s="4"/>
      <c r="D33" s="4"/>
      <c r="E33" s="4"/>
      <c r="F33" s="4"/>
      <c r="G33" s="4"/>
      <c r="H33" s="5">
        <f t="shared" si="12"/>
        <v>0</v>
      </c>
      <c r="I33" s="5">
        <f t="shared" si="13"/>
        <v>0</v>
      </c>
    </row>
    <row r="34" spans="1:9" x14ac:dyDescent="0.25">
      <c r="A34" s="3" t="s">
        <v>36</v>
      </c>
      <c r="B34" s="4"/>
      <c r="C34" s="4"/>
      <c r="D34" s="5">
        <f>-6420</f>
        <v>-6420</v>
      </c>
      <c r="E34" s="4"/>
      <c r="F34" s="4"/>
      <c r="G34" s="4"/>
      <c r="H34" s="5">
        <f t="shared" si="12"/>
        <v>0</v>
      </c>
      <c r="I34" s="5">
        <f t="shared" si="13"/>
        <v>-6420</v>
      </c>
    </row>
    <row r="35" spans="1:9" x14ac:dyDescent="0.25">
      <c r="A35" s="3" t="s">
        <v>37</v>
      </c>
      <c r="B35" s="6">
        <f t="shared" ref="B35:G35" si="14">(B33)+(B34)</f>
        <v>0</v>
      </c>
      <c r="C35" s="6">
        <f t="shared" si="14"/>
        <v>0</v>
      </c>
      <c r="D35" s="6">
        <f t="shared" si="14"/>
        <v>-6420</v>
      </c>
      <c r="E35" s="6">
        <f t="shared" si="14"/>
        <v>0</v>
      </c>
      <c r="F35" s="6">
        <f t="shared" si="14"/>
        <v>0</v>
      </c>
      <c r="G35" s="6">
        <f t="shared" si="14"/>
        <v>0</v>
      </c>
      <c r="H35" s="6">
        <f t="shared" si="12"/>
        <v>0</v>
      </c>
      <c r="I35" s="6">
        <f t="shared" si="13"/>
        <v>-6420</v>
      </c>
    </row>
    <row r="36" spans="1:9" x14ac:dyDescent="0.25">
      <c r="A36" s="3" t="s">
        <v>38</v>
      </c>
      <c r="B36" s="6">
        <f t="shared" ref="B36:G36" si="15">(B32)+(B35)</f>
        <v>0</v>
      </c>
      <c r="C36" s="6">
        <f t="shared" si="15"/>
        <v>0</v>
      </c>
      <c r="D36" s="6">
        <f t="shared" si="15"/>
        <v>-6420</v>
      </c>
      <c r="E36" s="6">
        <f t="shared" si="15"/>
        <v>0</v>
      </c>
      <c r="F36" s="6">
        <f t="shared" si="15"/>
        <v>0</v>
      </c>
      <c r="G36" s="6">
        <f t="shared" si="15"/>
        <v>7.8</v>
      </c>
      <c r="H36" s="6">
        <f t="shared" si="12"/>
        <v>7.8</v>
      </c>
      <c r="I36" s="6">
        <f t="shared" si="13"/>
        <v>-6412.2</v>
      </c>
    </row>
    <row r="37" spans="1:9" x14ac:dyDescent="0.25">
      <c r="A37" s="3" t="s">
        <v>39</v>
      </c>
      <c r="B37" s="6">
        <f t="shared" ref="B37:G37" si="16">(B36)-(0)</f>
        <v>0</v>
      </c>
      <c r="C37" s="6">
        <f t="shared" si="16"/>
        <v>0</v>
      </c>
      <c r="D37" s="6">
        <f t="shared" si="16"/>
        <v>-6420</v>
      </c>
      <c r="E37" s="6">
        <f t="shared" si="16"/>
        <v>0</v>
      </c>
      <c r="F37" s="6">
        <f t="shared" si="16"/>
        <v>0</v>
      </c>
      <c r="G37" s="6">
        <f t="shared" si="16"/>
        <v>7.8</v>
      </c>
      <c r="H37" s="6">
        <f t="shared" si="12"/>
        <v>7.8</v>
      </c>
      <c r="I37" s="6">
        <f t="shared" si="13"/>
        <v>-6412.2</v>
      </c>
    </row>
    <row r="38" spans="1:9" x14ac:dyDescent="0.25">
      <c r="A38" s="8" t="s">
        <v>47</v>
      </c>
      <c r="B38" s="7">
        <f t="shared" ref="B38:G38" si="17">(B30)+(B37)</f>
        <v>-336.23</v>
      </c>
      <c r="C38" s="7">
        <f t="shared" si="17"/>
        <v>-325.5</v>
      </c>
      <c r="D38" s="7">
        <f t="shared" si="17"/>
        <v>-6420</v>
      </c>
      <c r="E38" s="7">
        <f t="shared" si="17"/>
        <v>-516.73</v>
      </c>
      <c r="F38" s="7">
        <f t="shared" si="17"/>
        <v>0</v>
      </c>
      <c r="G38" s="7">
        <f t="shared" si="17"/>
        <v>4901.13</v>
      </c>
      <c r="H38" s="7">
        <f t="shared" si="12"/>
        <v>4901.13</v>
      </c>
      <c r="I38" s="7">
        <f t="shared" si="13"/>
        <v>-2697.329999999999</v>
      </c>
    </row>
    <row r="39" spans="1:9" x14ac:dyDescent="0.25">
      <c r="A39" s="3" t="s">
        <v>45</v>
      </c>
      <c r="B39" s="4">
        <v>23332.9</v>
      </c>
      <c r="C39" s="4">
        <v>2542.7800000000002</v>
      </c>
      <c r="D39" s="4">
        <v>5470.52</v>
      </c>
      <c r="E39" s="4">
        <v>14113.63</v>
      </c>
      <c r="F39" s="4"/>
      <c r="G39" s="4"/>
      <c r="H39" s="4"/>
      <c r="I39" s="4"/>
    </row>
    <row r="40" spans="1:9" x14ac:dyDescent="0.25">
      <c r="A40" s="3" t="s">
        <v>46</v>
      </c>
      <c r="B40" s="13">
        <f>B38+B39</f>
        <v>22996.670000000002</v>
      </c>
      <c r="C40" s="13">
        <f>C38+C39</f>
        <v>2217.2800000000002</v>
      </c>
      <c r="D40" s="13">
        <f>D38+D39</f>
        <v>-949.47999999999956</v>
      </c>
      <c r="E40" s="13">
        <f>E38+E39</f>
        <v>13596.9</v>
      </c>
    </row>
    <row r="41" spans="1:9" x14ac:dyDescent="0.25">
      <c r="D41" t="s">
        <v>59</v>
      </c>
    </row>
    <row r="42" spans="1:9" x14ac:dyDescent="0.25">
      <c r="A42" s="20" t="s">
        <v>41</v>
      </c>
      <c r="B42" s="17"/>
      <c r="C42" s="17"/>
      <c r="D42" s="17"/>
      <c r="E42" s="17"/>
      <c r="F42" s="17"/>
      <c r="G42" s="17"/>
      <c r="H42" s="17"/>
      <c r="I42" s="17"/>
    </row>
  </sheetData>
  <mergeCells count="4">
    <mergeCell ref="A42:I42"/>
    <mergeCell ref="A1:I1"/>
    <mergeCell ref="A2:I2"/>
    <mergeCell ref="A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Statement of Financial Position</vt:lpstr>
      <vt:lpstr>Statement of Activity</vt:lpstr>
      <vt:lpstr>Statement of Activity by Class</vt:lpstr>
      <vt:lpstr>by Class - July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Carrie</cp:lastModifiedBy>
  <dcterms:created xsi:type="dcterms:W3CDTF">2022-08-28T02:29:30Z</dcterms:created>
  <dcterms:modified xsi:type="dcterms:W3CDTF">2022-08-29T15:52:27Z</dcterms:modified>
</cp:coreProperties>
</file>